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emmah\Dropbox\Grad School\Papers\Modeling Paper\eCO2R TEA Code\Input\"/>
    </mc:Choice>
  </mc:AlternateContent>
  <xr:revisionPtr revIDLastSave="0" documentId="13_ncr:1_{5B1784BA-9671-43FC-BFDF-E2943E26FF23}" xr6:coauthVersionLast="47" xr6:coauthVersionMax="47" xr10:uidLastSave="{00000000-0000-0000-0000-000000000000}"/>
  <bookViews>
    <workbookView xWindow="-108" yWindow="-108" windowWidth="23256" windowHeight="12456" tabRatio="500" firstSheet="3" activeTab="3" xr2:uid="{00000000-000D-0000-FFFF-FFFF00000000}"/>
  </bookViews>
  <sheets>
    <sheet name="Products" sheetId="4" r:id="rId1"/>
    <sheet name="Tiers" sheetId="10" r:id="rId2"/>
    <sheet name="Parameters_CATEGORY1" sheetId="9" r:id="rId3"/>
    <sheet name="Parameters_CATEGORY2" sheetId="13" r:id="rId4"/>
    <sheet name="ParametersRealistic" sheetId="1" r:id="rId5"/>
    <sheet name="ParametersIdeal_BASE" sheetId="2" r:id="rId6"/>
    <sheet name="ParametersIdeal_BEST" sheetId="3" r:id="rId7"/>
    <sheet name="CO2-H2_Mixtures" sheetId="7" r:id="rId8"/>
    <sheet name="Separation Parameters" sheetId="8" r:id="rId9"/>
    <sheet name="SensitivityAnalysis" sheetId="5" r:id="rId10"/>
    <sheet name="SensitivityAnalysis_SARGENT" sheetId="6" r:id="rId11"/>
  </sheets>
  <definedNames>
    <definedName name="_xlnm._FilterDatabase" localSheetId="4" hidden="1">ParametersRealistic!$A$1:$J$6</definedName>
    <definedName name="_xlnm._FilterDatabase" localSheetId="0" hidden="1">Products!$A$1:$I$1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18" i="13" l="1"/>
  <c r="E18" i="13"/>
  <c r="D18" i="13"/>
  <c r="C18" i="13"/>
  <c r="F17" i="13"/>
  <c r="E17" i="13"/>
  <c r="D17" i="13"/>
  <c r="C17" i="13"/>
  <c r="F16" i="13"/>
  <c r="E16" i="13"/>
  <c r="D16" i="13"/>
  <c r="C16" i="13"/>
  <c r="F15" i="13"/>
  <c r="E15" i="13"/>
  <c r="D15" i="13"/>
  <c r="C15" i="13"/>
  <c r="F14" i="13"/>
  <c r="E14" i="13"/>
  <c r="I14" i="13" s="1"/>
  <c r="J14" i="13" s="1"/>
  <c r="D14" i="13"/>
  <c r="C14" i="13"/>
  <c r="F13" i="13"/>
  <c r="E13" i="13"/>
  <c r="D13" i="13"/>
  <c r="C13" i="13"/>
  <c r="I12" i="13"/>
  <c r="J12" i="13" s="1"/>
  <c r="F12" i="13"/>
  <c r="E12" i="13"/>
  <c r="D12" i="13"/>
  <c r="C12" i="13"/>
  <c r="F11" i="13"/>
  <c r="E11" i="13"/>
  <c r="D11" i="13"/>
  <c r="C11" i="13"/>
  <c r="I10" i="13"/>
  <c r="J10" i="13" s="1"/>
  <c r="F10" i="13"/>
  <c r="E10" i="13"/>
  <c r="D10" i="13"/>
  <c r="C10" i="13"/>
  <c r="F9" i="13"/>
  <c r="E9" i="13"/>
  <c r="I9" i="13" s="1"/>
  <c r="D9" i="13"/>
  <c r="C9" i="13"/>
  <c r="F8" i="13"/>
  <c r="E8" i="13"/>
  <c r="D8" i="13"/>
  <c r="C8" i="13"/>
  <c r="F7" i="13"/>
  <c r="E7" i="13"/>
  <c r="I7" i="13" s="1"/>
  <c r="D7" i="13"/>
  <c r="C7" i="13"/>
  <c r="F6" i="13"/>
  <c r="E6" i="13"/>
  <c r="D6" i="13"/>
  <c r="C6" i="13"/>
  <c r="F5" i="13"/>
  <c r="E5" i="13"/>
  <c r="I5" i="13" s="1"/>
  <c r="J5" i="13" s="1"/>
  <c r="D5" i="13"/>
  <c r="C5" i="13"/>
  <c r="F4" i="13"/>
  <c r="E4" i="13"/>
  <c r="I4" i="13" s="1"/>
  <c r="J4" i="13" s="1"/>
  <c r="D4" i="13"/>
  <c r="C4" i="13"/>
  <c r="F3" i="13"/>
  <c r="E3" i="13"/>
  <c r="I3" i="13" s="1"/>
  <c r="J3" i="13" s="1"/>
  <c r="D3" i="13"/>
  <c r="C3" i="13"/>
  <c r="F2" i="13"/>
  <c r="E2" i="13"/>
  <c r="D2" i="13"/>
  <c r="C2" i="13"/>
  <c r="F3" i="9"/>
  <c r="F4" i="9"/>
  <c r="F5" i="9"/>
  <c r="F6" i="9"/>
  <c r="F7" i="9"/>
  <c r="F8" i="9"/>
  <c r="F9" i="9"/>
  <c r="F10" i="9"/>
  <c r="F11" i="9"/>
  <c r="F12" i="9"/>
  <c r="F13" i="9"/>
  <c r="F14" i="9"/>
  <c r="F15" i="9"/>
  <c r="F16" i="9"/>
  <c r="F17" i="9"/>
  <c r="F18" i="9"/>
  <c r="E17" i="9"/>
  <c r="E18" i="9"/>
  <c r="E16" i="9"/>
  <c r="E3" i="9"/>
  <c r="E4" i="9"/>
  <c r="I4" i="9" s="1"/>
  <c r="J4" i="9" s="1"/>
  <c r="E5" i="9"/>
  <c r="I5" i="9" s="1"/>
  <c r="J5" i="9" s="1"/>
  <c r="E6" i="9"/>
  <c r="I6" i="9" s="1"/>
  <c r="J6" i="9" s="1"/>
  <c r="E7" i="9"/>
  <c r="I7" i="9" s="1"/>
  <c r="J7" i="9" s="1"/>
  <c r="E8" i="9"/>
  <c r="E9" i="9"/>
  <c r="I9" i="9" s="1"/>
  <c r="J9" i="9" s="1"/>
  <c r="D3" i="9"/>
  <c r="D4" i="9"/>
  <c r="D5" i="9"/>
  <c r="D6" i="9"/>
  <c r="D7" i="9"/>
  <c r="D8" i="9"/>
  <c r="D9" i="9"/>
  <c r="D10" i="9"/>
  <c r="D11" i="9"/>
  <c r="D12" i="9"/>
  <c r="D13" i="9"/>
  <c r="D14" i="9"/>
  <c r="D15" i="9"/>
  <c r="D16" i="9"/>
  <c r="D17" i="9"/>
  <c r="D18" i="9"/>
  <c r="D2" i="9"/>
  <c r="E2" i="9"/>
  <c r="I2" i="9" s="1"/>
  <c r="J2" i="9" s="1"/>
  <c r="F2" i="9"/>
  <c r="C3" i="9"/>
  <c r="C4" i="9"/>
  <c r="C5" i="9"/>
  <c r="C6" i="9"/>
  <c r="C7" i="9"/>
  <c r="C8" i="9"/>
  <c r="C9" i="9"/>
  <c r="C10" i="9"/>
  <c r="C11" i="9"/>
  <c r="C12" i="9"/>
  <c r="C13" i="9"/>
  <c r="C14" i="9"/>
  <c r="C15" i="9"/>
  <c r="C16" i="9"/>
  <c r="C17" i="9"/>
  <c r="C18" i="9"/>
  <c r="C2" i="9"/>
  <c r="E10" i="9"/>
  <c r="I10" i="9" s="1"/>
  <c r="J10" i="9" s="1"/>
  <c r="E11" i="9"/>
  <c r="I11" i="9" s="1"/>
  <c r="J11" i="9" s="1"/>
  <c r="E12" i="9"/>
  <c r="I12" i="9" s="1"/>
  <c r="J12" i="9" s="1"/>
  <c r="E13" i="9"/>
  <c r="I13" i="9" s="1"/>
  <c r="J13" i="9" s="1"/>
  <c r="E14" i="9"/>
  <c r="I14" i="9" s="1"/>
  <c r="J14" i="9" s="1"/>
  <c r="E15" i="9"/>
  <c r="I15" i="9" s="1"/>
  <c r="J15" i="9" s="1"/>
  <c r="G21" i="4"/>
  <c r="G20" i="4"/>
  <c r="G19" i="4"/>
  <c r="I3" i="9"/>
  <c r="J3" i="9" s="1"/>
  <c r="I8" i="9"/>
  <c r="J8" i="9" s="1"/>
  <c r="D3" i="8"/>
  <c r="J15" i="13" l="1"/>
  <c r="I15" i="13"/>
  <c r="J9" i="13"/>
  <c r="I2" i="13"/>
  <c r="J2" i="13" s="1"/>
  <c r="I11" i="13"/>
  <c r="J11" i="13" s="1"/>
  <c r="I6" i="13"/>
  <c r="J6" i="13" s="1"/>
  <c r="I13" i="13"/>
  <c r="J13" i="13" s="1"/>
  <c r="J7" i="13"/>
  <c r="I8" i="13"/>
  <c r="J8" i="13" s="1"/>
  <c r="H2" i="2"/>
  <c r="F5" i="6"/>
  <c r="C5" i="6"/>
  <c r="B5" i="6"/>
  <c r="F4" i="6"/>
  <c r="C4" i="6"/>
  <c r="B4" i="6"/>
  <c r="F3" i="6"/>
  <c r="C3" i="6"/>
  <c r="B3" i="6"/>
  <c r="B5" i="5"/>
  <c r="B4" i="5"/>
  <c r="B3" i="5"/>
  <c r="G18" i="4"/>
  <c r="G17" i="4"/>
  <c r="G16" i="4"/>
  <c r="G15" i="4"/>
  <c r="G14" i="4"/>
  <c r="G13" i="4"/>
  <c r="G12" i="4"/>
  <c r="G11" i="4"/>
  <c r="G10" i="4"/>
  <c r="G9" i="4"/>
  <c r="G8" i="4"/>
  <c r="G7" i="4"/>
  <c r="G6" i="4"/>
  <c r="G5" i="4"/>
  <c r="G4" i="4"/>
  <c r="G3" i="4"/>
  <c r="G2" i="4"/>
  <c r="H15" i="3"/>
  <c r="G15" i="3"/>
  <c r="G14" i="3"/>
  <c r="H14" i="3" s="1"/>
  <c r="H13" i="3"/>
  <c r="G13" i="3"/>
  <c r="H12" i="3"/>
  <c r="G12" i="3"/>
  <c r="H11" i="3"/>
  <c r="G11" i="3"/>
  <c r="H10" i="3"/>
  <c r="G10" i="3"/>
  <c r="H9" i="3"/>
  <c r="G9" i="3"/>
  <c r="H8" i="3"/>
  <c r="G8" i="3"/>
  <c r="H7" i="3"/>
  <c r="G7" i="3"/>
  <c r="H6" i="3"/>
  <c r="G6" i="3"/>
  <c r="H5" i="3"/>
  <c r="G5" i="3"/>
  <c r="H4" i="3"/>
  <c r="G4" i="3"/>
  <c r="H3" i="3"/>
  <c r="G3" i="3"/>
  <c r="H2" i="3"/>
  <c r="G2" i="3"/>
  <c r="H15" i="2"/>
  <c r="G15" i="2"/>
  <c r="H14" i="2"/>
  <c r="G14" i="2"/>
  <c r="H13" i="2"/>
  <c r="G13" i="2"/>
  <c r="H12" i="2"/>
  <c r="G12" i="2"/>
  <c r="H11" i="2"/>
  <c r="G11" i="2"/>
  <c r="H10" i="2"/>
  <c r="G10" i="2"/>
  <c r="H9" i="2"/>
  <c r="G9" i="2"/>
  <c r="H8" i="2"/>
  <c r="G8" i="2"/>
  <c r="H7" i="2"/>
  <c r="G7" i="2"/>
  <c r="H6" i="2"/>
  <c r="G6" i="2"/>
  <c r="H5" i="2"/>
  <c r="G5" i="2"/>
  <c r="H4" i="2"/>
  <c r="G4" i="2"/>
  <c r="H3" i="2"/>
  <c r="G3" i="2"/>
  <c r="G2" i="2"/>
  <c r="H7" i="1"/>
  <c r="H6" i="1"/>
  <c r="H5" i="1"/>
  <c r="H4" i="1"/>
  <c r="B4" i="1"/>
  <c r="H3"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tc={4CF72159-6AB0-45A3-89D6-1A42F9AA064D}</author>
  </authors>
  <commentList>
    <comment ref="I1" authorId="0" shapeId="0" xr:uid="{4CF72159-6AB0-45A3-89D6-1A42F9AA064D}">
      <text>
        <t>[Threaded comment]
Your version of Excel allows you to read this threaded comment; however, any edits to it will get removed if the file is opened in a newer version of Excel. Learn more: https://go.microsoft.com/fwlink/?linkid=870924
Comment:
    Only relevant for mixtures with H2 (CO, CO2 or Formic acid), zero for everything else.
---Note on CO2:H2 mixtures:---
All FBA solutions (on bio side) require an H2:CO2 ratio between 2-4, so for the cost of ECR production alone, the cost for these two extremes are determined.
When cost for combined system is evaluated, the actual H2Ratio from the given FBA solution is used instead.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tc={077CF415-A5C8-4DD1-9831-58B6C97B49A0}</author>
    <author>tc={444DC424-C04F-424F-803D-E8A509D11425}</author>
    <author>tc={DB1221D7-D59D-4D6A-BF50-A61930E5A605}</author>
    <author>tc={7F8A516D-3ECA-4349-884A-5A70B6F6969C}</author>
  </authors>
  <commentList>
    <comment ref="B1" authorId="0" shapeId="0" xr:uid="{077CF415-A5C8-4DD1-9831-58B6C97B49A0}">
      <text>
        <t>[Threaded comment]
Your version of Excel allows you to read this threaded comment; however, any edits to it will get removed if the file is opened in a newer version of Excel. Learn more: https://go.microsoft.com/fwlink/?linkid=870924
Comment:
    V</t>
      </text>
    </comment>
    <comment ref="C1" authorId="1" shapeId="0" xr:uid="{444DC424-C04F-424F-803D-E8A509D11425}">
      <text>
        <t>[Threaded comment]
Your version of Excel allows you to read this threaded comment; however, any edits to it will get removed if the file is opened in a newer version of Excel. Learn more: https://go.microsoft.com/fwlink/?linkid=870924
Comment:
    mA/cm^2</t>
      </text>
    </comment>
    <comment ref="D1" authorId="2" shapeId="0" xr:uid="{DB1221D7-D59D-4D6A-BF50-A61930E5A605}">
      <text>
        <t>[Threaded comment]
Your version of Excel allows you to read this threaded comment; however, any edits to it will get removed if the file is opened in a newer version of Excel. Learn more: https://go.microsoft.com/fwlink/?linkid=870924
Comment:
    %
For CO2:H2 mixtures, 100% FE assumed (only hydrogen being produced, assuming only H2 produced)</t>
      </text>
    </comment>
    <comment ref="E1" authorId="3" shapeId="0" xr:uid="{7F8A516D-3ECA-4349-884A-5A70B6F6969C}">
      <text>
        <t>[Threaded comment]
Your version of Excel allows you to read this threaded comment; however, any edits to it will get removed if the file is opened in a newer version of Excel. Learn more: https://go.microsoft.com/fwlink/?linkid=870924
Comment:
    %, CO2 single pass conversion
Not applicable for CO2:H2 mixtures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tc={7E2899F2-5FE5-40BD-99ED-C8DBD8ABE6B8}</author>
    <author>tc={CA4B8790-26DB-465A-BF24-892328B62077}</author>
    <author>tc={897CA138-F853-4D4D-802B-B4605F542CE9}</author>
    <author>tc={38DE55A0-AEDE-44CA-8EF8-AEB25CB243C8}</author>
    <author>tc={EB46DF5A-29F7-4FEB-B434-8644FA7441E6}</author>
    <author>tc={7CF01B63-125A-46D2-8F46-60E4EC2CD1CB}</author>
    <author/>
    <author>tc={B597724B-C8D1-4D00-A821-6E02EB05FC79}</author>
    <author>tc={47E8BD71-3D0E-46BD-AFF7-98F792A1E886}</author>
    <author>tc={4E026448-66B5-434E-B1CC-607D6B20B92E}</author>
    <author>tc={03E102D3-7D75-4CE8-8E43-DC3AE069BEB7}</author>
    <author>tc={F99ED336-3E55-422F-970C-199D2123480F}</author>
    <author>tc={5654C464-529C-44AE-9B00-C6CA9D02DDD8}</author>
  </authors>
  <commentList>
    <comment ref="C1" authorId="0" shapeId="0" xr:uid="{7E2899F2-5FE5-40BD-99ED-C8DBD8ABE6B8}">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D1" authorId="1" shapeId="0" xr:uid="{CA4B8790-26DB-465A-BF24-892328B62077}">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E1" authorId="2" shapeId="0" xr:uid="{897CA138-F853-4D4D-802B-B4605F542CE9}">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F1" authorId="3" shapeId="0" xr:uid="{38DE55A0-AEDE-44CA-8EF8-AEB25CB243C8}">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H1" authorId="4" shapeId="0" xr:uid="{EB46DF5A-29F7-4FEB-B434-8644FA7441E6}">
      <text>
        <t>[Threaded comment]
Your version of Excel allows you to read this threaded comment; however, any edits to it will get removed if the file is opened in a newer version of Excel. Learn more: https://go.microsoft.com/fwlink/?linkid=870924
Comment:
    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text>
    </comment>
    <comment ref="J1" authorId="5" shapeId="0" xr:uid="{7CF01B63-125A-46D2-8F46-60E4EC2CD1CB}">
      <text>
        <t>[Threaded comment]
Your version of Excel allows you to read this threaded comment; however, any edits to it will get removed if the file is opened in a newer version of Excel. Learn more: https://go.microsoft.com/fwlink/?linkid=870924
Comment:
    Mol CO2/mol electrons</t>
      </text>
    </comment>
    <comment ref="K1" authorId="6" shapeId="0" xr:uid="{CC65D2D4-FF44-4266-A12E-5758EDDAEB78}">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 ref="E10" authorId="7" shapeId="0" xr:uid="{B597724B-C8D1-4D00-A821-6E02EB05FC79}">
      <text>
        <t>[Threaded comment]
Your version of Excel allows you to read this threaded comment; however, any edits to it will get removed if the file is opened in a newer version of Excel. Learn more: https://go.microsoft.com/fwlink/?linkid=870924
Comment:
    Mix ratio: 1 CO: 0.5 H2
FE for CO: 100*(1/1.5)</t>
      </text>
    </comment>
    <comment ref="E11" authorId="8" shapeId="0" xr:uid="{47E8BD71-3D0E-46BD-AFF7-98F792A1E886}">
      <text>
        <t xml:space="preserve">[Threaded comment]
Your version of Excel allows you to read this threaded comment; however, any edits to it will get removed if the file is opened in a newer version of Excel. Learn more: https://go.microsoft.com/fwlink/?linkid=870924
Comment:
    Mix ratio: 1 CO: 1 H2
FE for CO: 100*(1/2)
</t>
      </text>
    </comment>
    <comment ref="E12" authorId="9" shapeId="0" xr:uid="{4E026448-66B5-434E-B1CC-607D6B20B92E}">
      <text>
        <t xml:space="preserve">[Threaded comment]
Your version of Excel allows you to read this threaded comment; however, any edits to it will get removed if the file is opened in a newer version of Excel. Learn more: https://go.microsoft.com/fwlink/?linkid=870924
Comment:
    Mix ratio: 1 CO: 2 H2
FE for CO: 100*(1/3)
</t>
      </text>
    </comment>
    <comment ref="E13" authorId="10" shapeId="0" xr:uid="{03E102D3-7D75-4CE8-8E43-DC3AE069BEB7}">
      <text>
        <t>[Threaded comment]
Your version of Excel allows you to read this threaded comment; however, any edits to it will get removed if the file is opened in a newer version of Excel. Learn more: https://go.microsoft.com/fwlink/?linkid=870924
Comment:
    Mix ratio: 1 FA: 0.5 H2
FE for FA: 100*(1/1.5)</t>
      </text>
    </comment>
    <comment ref="E14" authorId="11" shapeId="0" xr:uid="{F99ED336-3E55-422F-970C-199D2123480F}">
      <text>
        <t xml:space="preserve">[Threaded comment]
Your version of Excel allows you to read this threaded comment; however, any edits to it will get removed if the file is opened in a newer version of Excel. Learn more: https://go.microsoft.com/fwlink/?linkid=870924
Comment:
    Mix ratio: 1 FA: 1 H2
FE for FA: 100*(1/2)
</t>
      </text>
    </comment>
    <comment ref="E15" authorId="12" shapeId="0" xr:uid="{5654C464-529C-44AE-9B00-C6CA9D02DDD8}">
      <text>
        <t xml:space="preserve">[Threaded comment]
Your version of Excel allows you to read this threaded comment; however, any edits to it will get removed if the file is opened in a newer version of Excel. Learn more: https://go.microsoft.com/fwlink/?linkid=870924
Comment:
    Mix ratio: 1 FA: 2 H2
FE for FA: 100*(1/3)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tc={4541EB82-FD8F-4FA0-9436-8947B8EEA5C1}</author>
    <author>tc={DE4A5A0F-3C39-4305-BC73-8B2C2CBCDB61}</author>
    <author>tc={9E9F6D4A-19A5-4271-A989-72C144CF5BD9}</author>
    <author>tc={7ABB691F-77B9-484A-84A8-F85BD2E56776}</author>
    <author>tc={70157D93-C559-4C07-8492-30B548388075}</author>
    <author>tc={CE6223D9-8319-4919-9F83-D96F95AAB564}</author>
    <author/>
    <author>tc={6E43BAF1-F20D-4616-9F27-FFFECF6E0D7D}</author>
    <author>tc={F5A3C772-1054-49B7-B103-4EF672926ABC}</author>
    <author>tc={C903C8CC-EB18-4235-AB84-F71B8DB3FC89}</author>
    <author>tc={0887C70F-AF24-4799-B60A-0FB6D8ACB829}</author>
    <author>tc={D22AF9D9-6460-4F7E-A6E7-3589F163A97B}</author>
    <author>tc={6EB63FC3-0F6D-4C36-B96B-EC637C3E0135}</author>
  </authors>
  <commentList>
    <comment ref="C1" authorId="0" shapeId="0" xr:uid="{4541EB82-FD8F-4FA0-9436-8947B8EEA5C1}">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D1" authorId="1" shapeId="0" xr:uid="{DE4A5A0F-3C39-4305-BC73-8B2C2CBCDB61}">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E1" authorId="2" shapeId="0" xr:uid="{9E9F6D4A-19A5-4271-A989-72C144CF5BD9}">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F1" authorId="3" shapeId="0" xr:uid="{7ABB691F-77B9-484A-84A8-F85BD2E56776}">
      <text>
        <t>[Threaded comment]
Your version of Excel allows you to read this threaded comment; however, any edits to it will get removed if the file is opened in a newer version of Excel. Learn more: https://go.microsoft.com/fwlink/?linkid=870924
Comment:
    Sourced from Categories table based on assigned Tier</t>
      </text>
    </comment>
    <comment ref="H1" authorId="4" shapeId="0" xr:uid="{70157D93-C559-4C07-8492-30B548388075}">
      <text>
        <t>[Threaded comment]
Your version of Excel allows you to read this threaded comment; however, any edits to it will get removed if the file is opened in a newer version of Excel. Learn more: https://go.microsoft.com/fwlink/?linkid=870924
Comment:
    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text>
    </comment>
    <comment ref="J1" authorId="5" shapeId="0" xr:uid="{CE6223D9-8319-4919-9F83-D96F95AAB564}">
      <text>
        <t>[Threaded comment]
Your version of Excel allows you to read this threaded comment; however, any edits to it will get removed if the file is opened in a newer version of Excel. Learn more: https://go.microsoft.com/fwlink/?linkid=870924
Comment:
    Mol CO2/mol electrons</t>
      </text>
    </comment>
    <comment ref="K1" authorId="6" shapeId="0" xr:uid="{C52AD37D-01B1-47D1-848A-E463CD6AB88C}">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 ref="E10" authorId="7" shapeId="0" xr:uid="{6E43BAF1-F20D-4616-9F27-FFFECF6E0D7D}">
      <text>
        <t>[Threaded comment]
Your version of Excel allows you to read this threaded comment; however, any edits to it will get removed if the file is opened in a newer version of Excel. Learn more: https://go.microsoft.com/fwlink/?linkid=870924
Comment:
    Mix ratio: 1 CO: 0.5 H2
FE for CO: 100*(1/1.5)</t>
      </text>
    </comment>
    <comment ref="E11" authorId="8" shapeId="0" xr:uid="{F5A3C772-1054-49B7-B103-4EF672926ABC}">
      <text>
        <t xml:space="preserve">[Threaded comment]
Your version of Excel allows you to read this threaded comment; however, any edits to it will get removed if the file is opened in a newer version of Excel. Learn more: https://go.microsoft.com/fwlink/?linkid=870924
Comment:
    Mix ratio: 1 CO: 1 H2
FE for CO: 100*(1/2)
</t>
      </text>
    </comment>
    <comment ref="E12" authorId="9" shapeId="0" xr:uid="{C903C8CC-EB18-4235-AB84-F71B8DB3FC89}">
      <text>
        <t xml:space="preserve">[Threaded comment]
Your version of Excel allows you to read this threaded comment; however, any edits to it will get removed if the file is opened in a newer version of Excel. Learn more: https://go.microsoft.com/fwlink/?linkid=870924
Comment:
    Mix ratio: 1 CO: 2 H2
FE for CO: 100*(1/3)
</t>
      </text>
    </comment>
    <comment ref="E13" authorId="10" shapeId="0" xr:uid="{0887C70F-AF24-4799-B60A-0FB6D8ACB829}">
      <text>
        <t>[Threaded comment]
Your version of Excel allows you to read this threaded comment; however, any edits to it will get removed if the file is opened in a newer version of Excel. Learn more: https://go.microsoft.com/fwlink/?linkid=870924
Comment:
    Mix ratio: 1 FA: 0.5 H2
FE for FA: 100*(1/1.5)</t>
      </text>
    </comment>
    <comment ref="E14" authorId="11" shapeId="0" xr:uid="{D22AF9D9-6460-4F7E-A6E7-3589F163A97B}">
      <text>
        <t xml:space="preserve">[Threaded comment]
Your version of Excel allows you to read this threaded comment; however, any edits to it will get removed if the file is opened in a newer version of Excel. Learn more: https://go.microsoft.com/fwlink/?linkid=870924
Comment:
    Mix ratio: 1 FA: 1 H2
FE for FA: 100*(1/2)
</t>
      </text>
    </comment>
    <comment ref="E15" authorId="12" shapeId="0" xr:uid="{6EB63FC3-0F6D-4C36-B96B-EC637C3E0135}">
      <text>
        <t xml:space="preserve">[Threaded comment]
Your version of Excel allows you to read this threaded comment; however, any edits to it will get removed if the file is opened in a newer version of Excel. Learn more: https://go.microsoft.com/fwlink/?linkid=870924
Comment:
    Mix ratio: 1 FA: 2 H2
FE for FA: 100*(1/3)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rFont val="Arial"/>
            <family val="2"/>
            <charset val="1"/>
          </rPr>
          <t>Using 3 for base, 2 for best.</t>
        </r>
      </text>
    </comment>
    <comment ref="C1" authorId="0" shapeId="0" xr:uid="{00000000-0006-0000-0100-000002000000}">
      <text>
        <r>
          <rPr>
            <sz val="10"/>
            <rFont val="Arial"/>
            <family val="2"/>
            <charset val="1"/>
          </rPr>
          <t>Initially 200, changed to 300 on June 18, 2021.
300 for base base, 500 for best case</t>
        </r>
      </text>
    </comment>
    <comment ref="D1" authorId="0" shapeId="0" xr:uid="{00000000-0006-0000-0100-000003000000}">
      <text>
        <r>
          <rPr>
            <sz val="10"/>
            <rFont val="Arial"/>
            <family val="2"/>
            <charset val="1"/>
          </rPr>
          <t>Using 80 for base, 90 for best.</t>
        </r>
      </text>
    </comment>
    <comment ref="F1" authorId="0" shapeId="0" xr:uid="{00000000-0006-0000-0100-000004000000}">
      <text>
        <r>
          <rPr>
            <sz val="10"/>
            <rFont val="Arial"/>
            <family val="2"/>
            <charset val="1"/>
          </rPr>
          <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r>
      </text>
    </comment>
    <comment ref="I1" authorId="0" shapeId="0" xr:uid="{00000000-0006-0000-01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rFont val="Arial"/>
            <family val="2"/>
            <charset val="1"/>
          </rPr>
          <t>Using 3 for base, 2 for best.</t>
        </r>
      </text>
    </comment>
    <comment ref="C1" authorId="0" shapeId="0" xr:uid="{00000000-0006-0000-0200-000002000000}">
      <text>
        <r>
          <rPr>
            <sz val="10"/>
            <color rgb="FF000000"/>
            <rFont val="Arial"/>
            <family val="2"/>
            <charset val="1"/>
          </rPr>
          <t xml:space="preserve">Initially 200, changed to 300 on June 18, 2021.
</t>
        </r>
        <r>
          <rPr>
            <sz val="10"/>
            <color rgb="FF000000"/>
            <rFont val="Arial"/>
            <family val="2"/>
            <charset val="1"/>
          </rPr>
          <t xml:space="preserve">
</t>
        </r>
        <r>
          <rPr>
            <sz val="10"/>
            <color rgb="FF000000"/>
            <rFont val="Arial"/>
            <family val="2"/>
            <charset val="1"/>
          </rPr>
          <t>300 for base base, 500 for best case</t>
        </r>
      </text>
    </comment>
    <comment ref="D1" authorId="0" shapeId="0" xr:uid="{00000000-0006-0000-0200-000003000000}">
      <text>
        <r>
          <rPr>
            <sz val="10"/>
            <rFont val="Arial"/>
            <family val="2"/>
            <charset val="1"/>
          </rPr>
          <t>Using 80 for base, 90 for best.</t>
        </r>
      </text>
    </comment>
    <comment ref="F1" authorId="0" shapeId="0" xr:uid="{00000000-0006-0000-0200-000004000000}">
      <text>
        <r>
          <rPr>
            <sz val="10"/>
            <rFont val="Arial"/>
            <family val="2"/>
            <charset val="1"/>
          </rPr>
          <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
        </r>
      </text>
    </comment>
    <comment ref="I1" authorId="0" shapeId="0" xr:uid="{00000000-0006-0000-02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600-000001000000}">
      <text>
        <r>
          <rPr>
            <sz val="10"/>
            <rFont val="Arial"/>
            <family val="2"/>
            <charset val="1"/>
          </rPr>
          <t>Mol H2/ mol CO2</t>
        </r>
      </text>
    </comment>
    <comment ref="D1" authorId="0" shapeId="0" xr:uid="{00000000-0006-0000-0600-000002000000}">
      <text>
        <r>
          <rPr>
            <sz val="10"/>
            <rFont val="Arial"/>
            <family val="2"/>
          </rPr>
          <t>For H2 production</t>
        </r>
      </text>
    </comment>
    <comment ref="E1" authorId="0" shapeId="0" xr:uid="{00000000-0006-0000-0600-000003000000}">
      <text>
        <r>
          <rPr>
            <sz val="10"/>
            <rFont val="Arial"/>
            <family val="2"/>
            <charset val="1"/>
          </rPr>
          <t>For H2 production</t>
        </r>
      </text>
    </comment>
    <comment ref="F1" authorId="0" shapeId="0" xr:uid="{00000000-0006-0000-0600-000004000000}">
      <text>
        <r>
          <rPr>
            <sz val="10"/>
            <rFont val="Arial"/>
            <family val="2"/>
            <charset val="1"/>
          </rPr>
          <t>For H2 production</t>
        </r>
      </text>
    </comment>
    <comment ref="H1" authorId="0" shapeId="0" xr:uid="{00000000-0006-0000-0600-000005000000}">
      <text>
        <r>
          <rPr>
            <sz val="10"/>
            <rFont val="Arial"/>
            <family val="2"/>
            <charset val="1"/>
          </rPr>
          <t>Electricity and CO2 are not the only components that contribute to the cost of ECR. This scaling factor can be used to add additional %cost to account for other costs.
A scaling factor of 1 assumes only the electricity and CO2 costs apply. Scaling factor &gt;1 applies other costs.
ie. A scaling factor of 1.2 applies 20% additional costs.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400-000001000000}">
      <text>
        <r>
          <rPr>
            <sz val="10"/>
            <rFont val="Arial"/>
            <family val="2"/>
            <charset val="1"/>
          </rPr>
          <t>Represents electrolyzer CAPITAL cost in $CA/m^2.
Initially used values: 1000, 1500 and 2000.
Increased to 1000, 2000 and 4000 $CA/m^2.</t>
        </r>
      </text>
    </comment>
  </commentList>
</comments>
</file>

<file path=xl/sharedStrings.xml><?xml version="1.0" encoding="utf-8"?>
<sst xmlns="http://schemas.openxmlformats.org/spreadsheetml/2006/main" count="397" uniqueCount="107">
  <si>
    <t>SubstrateName</t>
  </si>
  <si>
    <t>SubstrateType</t>
  </si>
  <si>
    <t>Formula</t>
  </si>
  <si>
    <t>C_n</t>
  </si>
  <si>
    <t>H_n</t>
  </si>
  <si>
    <t>O_n</t>
  </si>
  <si>
    <t>MW_S</t>
  </si>
  <si>
    <t>N_electrons</t>
  </si>
  <si>
    <t>H2Ratio</t>
  </si>
  <si>
    <t>Acetaldehyde</t>
  </si>
  <si>
    <t>Pure</t>
  </si>
  <si>
    <t>C2H4O</t>
  </si>
  <si>
    <t>AceticAcid</t>
  </si>
  <si>
    <t>CH3COOH</t>
  </si>
  <si>
    <t>Ethanol</t>
  </si>
  <si>
    <t>C2H5OH</t>
  </si>
  <si>
    <t>EthyleneGlycol</t>
  </si>
  <si>
    <t>(CH2OH)2</t>
  </si>
  <si>
    <t>FormicAcid</t>
  </si>
  <si>
    <t>CHOOH</t>
  </si>
  <si>
    <t>Glycolaldehyde</t>
  </si>
  <si>
    <t>C2H4O2</t>
  </si>
  <si>
    <t>Methanol</t>
  </si>
  <si>
    <t>CH3OH</t>
  </si>
  <si>
    <t>Methane</t>
  </si>
  <si>
    <t>CH4</t>
  </si>
  <si>
    <t>Ethylene</t>
  </si>
  <si>
    <t>C2H4</t>
  </si>
  <si>
    <t>CarbonMonoxide</t>
  </si>
  <si>
    <t>CO</t>
  </si>
  <si>
    <t>Hydrogen</t>
  </si>
  <si>
    <t>H2</t>
  </si>
  <si>
    <t>CarbonMonoxide_0.5</t>
  </si>
  <si>
    <t>Mix</t>
  </si>
  <si>
    <t>CarbonMonoxide_1</t>
  </si>
  <si>
    <t>CarbonMonoxide_2</t>
  </si>
  <si>
    <t>FormicAcid_0.5</t>
  </si>
  <si>
    <t>FormicAcid_1</t>
  </si>
  <si>
    <t>FormicAcid_2</t>
  </si>
  <si>
    <t>CarbonDioxide_2</t>
  </si>
  <si>
    <t>Mix2</t>
  </si>
  <si>
    <t>CO2</t>
  </si>
  <si>
    <t>CarbonDioxide_4</t>
  </si>
  <si>
    <t>CarbonDioxide_x</t>
  </si>
  <si>
    <t>N/A</t>
  </si>
  <si>
    <t>Tier</t>
  </si>
  <si>
    <t>CellVoltage</t>
  </si>
  <si>
    <t>CurrentDensity</t>
  </si>
  <si>
    <t>FaradaicEfficiency</t>
  </si>
  <si>
    <t>Conversion</t>
  </si>
  <si>
    <t>Description</t>
  </si>
  <si>
    <t>Acetaldehyde, Ethylene glycol</t>
  </si>
  <si>
    <t>Alcohols: Methanol, Ethanol, Propanol</t>
  </si>
  <si>
    <t>Ethylene, Acetic Acid, CO, Formic Acid</t>
  </si>
  <si>
    <t>Best case (for any products other than CO2 mixtures)</t>
  </si>
  <si>
    <t>CO2:H2 mixtures, worse case</t>
  </si>
  <si>
    <t>CO2:H2 mixtures, better case</t>
  </si>
  <si>
    <t>EnergyEfficiency</t>
  </si>
  <si>
    <t>ByProducts</t>
  </si>
  <si>
    <t>ByP_FE</t>
  </si>
  <si>
    <t>Xco2</t>
  </si>
  <si>
    <t>ScalingFactor</t>
  </si>
  <si>
    <t>FormicAcid/CO</t>
  </si>
  <si>
    <t>Source</t>
  </si>
  <si>
    <t>Formate</t>
  </si>
  <si>
    <t>Zha (2019)</t>
  </si>
  <si>
    <t>Tamura (2015)</t>
  </si>
  <si>
    <t>Ethylene,  Hydrogen, Acetate, Methane</t>
  </si>
  <si>
    <t>34, 16, 4, 3</t>
  </si>
  <si>
    <t>Luo (2019)</t>
  </si>
  <si>
    <t>Li (2006), DeLuna (2019)</t>
  </si>
  <si>
    <t>Formate, CO</t>
  </si>
  <si>
    <t>20, 2.4</t>
  </si>
  <si>
    <t>Yang (2019)</t>
  </si>
  <si>
    <t>None</t>
  </si>
  <si>
    <t>Ma (2016)</t>
  </si>
  <si>
    <t>Case</t>
  </si>
  <si>
    <t>Notes</t>
  </si>
  <si>
    <t>Base</t>
  </si>
  <si>
    <t>No byproducts accounted in analysis, but FE &lt;100 used</t>
  </si>
  <si>
    <t>Best</t>
  </si>
  <si>
    <t>Process</t>
  </si>
  <si>
    <t>Phase</t>
  </si>
  <si>
    <t>Operating Cost (kWh/m3)</t>
  </si>
  <si>
    <t>Operating Cost ($/day)</t>
  </si>
  <si>
    <t>Reference Capital Cost ($)</t>
  </si>
  <si>
    <t>Reference Capacity (m3/h)</t>
  </si>
  <si>
    <t>Reference Capacity (L/min)</t>
  </si>
  <si>
    <t>Capacity Scaling Factor</t>
  </si>
  <si>
    <t>PSA</t>
  </si>
  <si>
    <t>GAS</t>
  </si>
  <si>
    <t>Jouny, M., Luc, W. &amp; Jiao, F. General Techno-Economic Analysis of CO2 Electrolysis Systems. Industrial &amp; Engineering Chemistry Research 57, 2165–2177 (2018).</t>
  </si>
  <si>
    <t>Distillation</t>
  </si>
  <si>
    <t>LIQUID</t>
  </si>
  <si>
    <t>Parameters</t>
  </si>
  <si>
    <t>ElectricityPrice</t>
  </si>
  <si>
    <t>CO2Price</t>
  </si>
  <si>
    <t>CarbonTax</t>
  </si>
  <si>
    <t>ElectrolyzerPrice</t>
  </si>
  <si>
    <t>Units</t>
  </si>
  <si>
    <t>$ CA/kWh</t>
  </si>
  <si>
    <t>$/tonne</t>
  </si>
  <si>
    <t>%</t>
  </si>
  <si>
    <t>$/m^2</t>
  </si>
  <si>
    <t>mA/cm^2</t>
  </si>
  <si>
    <t>V</t>
  </si>
  <si>
    <t>Worst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</si>
</sst>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b/>
      <sz val="10"/>
      <name val="Arial"/>
      <family val="2"/>
      <charset val="1"/>
    </font>
    <font>
      <sz val="11"/>
      <name val="arial"/>
      <family val="2"/>
      <charset val="1"/>
    </font>
    <font>
      <sz val="10"/>
      <name val="arial"/>
      <family val="2"/>
      <charset val="1"/>
    </font>
    <font>
      <sz val="10"/>
      <name val="Arial"/>
      <family val="2"/>
    </font>
    <font>
      <sz val="10"/>
      <color rgb="FF000000"/>
      <name val="Arial"/>
      <family val="2"/>
      <charset val="1"/>
    </font>
  </fonts>
  <fills count="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0" fillId="0" borderId="0" xfId="0" applyAlignment="1">
      <alignment wrapText="1"/>
    </xf>
    <xf numFmtId="0" fontId="0" fillId="0" borderId="0" xfId="0" applyProtection="1">
      <protection locked="0"/>
    </xf>
    <xf numFmtId="0" fontId="0" fillId="2" borderId="0" xfId="0" applyFill="1" applyAlignment="1">
      <alignment horizontal="center"/>
    </xf>
    <xf numFmtId="0" fontId="0" fillId="0" borderId="0" xfId="0" quotePrefix="1" applyAlignment="1">
      <alignment horizontal="center"/>
    </xf>
    <xf numFmtId="0" fontId="0" fillId="2" borderId="0" xfId="0" quotePrefix="1" applyFill="1" applyAlignment="1">
      <alignment horizontal="center"/>
    </xf>
    <xf numFmtId="0" fontId="1" fillId="4" borderId="0" xfId="0" applyFont="1" applyFill="1"/>
    <xf numFmtId="0" fontId="1" fillId="4" borderId="0" xfId="0" applyFont="1" applyFill="1" applyAlignment="1">
      <alignment horizontal="center"/>
    </xf>
    <xf numFmtId="2" fontId="0" fillId="3" borderId="0" xfId="0" applyNumberFormat="1" applyFill="1" applyAlignment="1">
      <alignment horizontal="center"/>
    </xf>
    <xf numFmtId="0" fontId="0" fillId="3" borderId="0" xfId="0" applyFill="1" applyAlignment="1">
      <alignment horizontal="center"/>
    </xf>
  </cellXfs>
  <cellStyles count="1">
    <cellStyle name="Normal" xfId="0" builtinId="0"/>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arial"/>
        <family val="2"/>
        <charset val="1"/>
        <scheme val="none"/>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10</xdr:row>
      <xdr:rowOff>114300</xdr:rowOff>
    </xdr:from>
    <xdr:to>
      <xdr:col>5</xdr:col>
      <xdr:colOff>1609371</xdr:colOff>
      <xdr:row>27</xdr:row>
      <xdr:rowOff>158491</xdr:rowOff>
    </xdr:to>
    <xdr:pic>
      <xdr:nvPicPr>
        <xdr:cNvPr id="2" name="Picture 1">
          <a:extLst>
            <a:ext uri="{FF2B5EF4-FFF2-40B4-BE49-F238E27FC236}">
              <a16:creationId xmlns:a16="http://schemas.microsoft.com/office/drawing/2014/main" id="{083D6EEB-0DA8-8B80-0134-B7A5644947BB}"/>
            </a:ext>
          </a:extLst>
        </xdr:cNvPr>
        <xdr:cNvPicPr>
          <a:picLocks noChangeAspect="1"/>
        </xdr:cNvPicPr>
      </xdr:nvPicPr>
      <xdr:blipFill>
        <a:blip xmlns:r="http://schemas.openxmlformats.org/officeDocument/2006/relationships" r:embed="rId1"/>
        <a:stretch>
          <a:fillRect/>
        </a:stretch>
      </xdr:blipFill>
      <xdr:spPr>
        <a:xfrm>
          <a:off x="114300" y="1828800"/>
          <a:ext cx="6467121" cy="29588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698500</xdr:colOff>
      <xdr:row>76</xdr:row>
      <xdr:rowOff>152400</xdr:rowOff>
    </xdr:to>
    <xdr:sp macro="" textlink="">
      <xdr:nvSpPr>
        <xdr:cNvPr id="1026" name="shapetype_202" hidden="1">
          <a:extLst>
            <a:ext uri="{FF2B5EF4-FFF2-40B4-BE49-F238E27FC236}">
              <a16:creationId xmlns:a16="http://schemas.microsoft.com/office/drawing/2014/main" id="{A1CA0107-98B9-6941-8750-8D1EAAD1E4D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546100</xdr:colOff>
      <xdr:row>76</xdr:row>
      <xdr:rowOff>152400</xdr:rowOff>
    </xdr:to>
    <xdr:sp macro="" textlink="">
      <xdr:nvSpPr>
        <xdr:cNvPr id="2058" name="shapetype_202" hidden="1">
          <a:extLst>
            <a:ext uri="{FF2B5EF4-FFF2-40B4-BE49-F238E27FC236}">
              <a16:creationId xmlns:a16="http://schemas.microsoft.com/office/drawing/2014/main" id="{9732EC7F-3A2B-4148-AAF7-399A05F43EC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6" name="shapetype_202" hidden="1">
          <a:extLst>
            <a:ext uri="{FF2B5EF4-FFF2-40B4-BE49-F238E27FC236}">
              <a16:creationId xmlns:a16="http://schemas.microsoft.com/office/drawing/2014/main" id="{6E129785-5C5D-7647-BDEE-B94F98A66A2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4" name="shapetype_202" hidden="1">
          <a:extLst>
            <a:ext uri="{FF2B5EF4-FFF2-40B4-BE49-F238E27FC236}">
              <a16:creationId xmlns:a16="http://schemas.microsoft.com/office/drawing/2014/main" id="{A02D21E4-EFC1-B24E-BC17-F50BBD366C2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2" name="shapetype_202" hidden="1">
          <a:extLst>
            <a:ext uri="{FF2B5EF4-FFF2-40B4-BE49-F238E27FC236}">
              <a16:creationId xmlns:a16="http://schemas.microsoft.com/office/drawing/2014/main" id="{63BF5DCA-5065-C747-B1A8-67C7D03785E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2050" name="shapetype_202" hidden="1">
          <a:extLst>
            <a:ext uri="{FF2B5EF4-FFF2-40B4-BE49-F238E27FC236}">
              <a16:creationId xmlns:a16="http://schemas.microsoft.com/office/drawing/2014/main" id="{DC79103D-CB19-9149-86B5-144F489FBB9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546100</xdr:colOff>
      <xdr:row>76</xdr:row>
      <xdr:rowOff>152400</xdr:rowOff>
    </xdr:to>
    <xdr:sp macro="" textlink="">
      <xdr:nvSpPr>
        <xdr:cNvPr id="3082" name="shapetype_202" hidden="1">
          <a:extLst>
            <a:ext uri="{FF2B5EF4-FFF2-40B4-BE49-F238E27FC236}">
              <a16:creationId xmlns:a16="http://schemas.microsoft.com/office/drawing/2014/main" id="{BF3CE635-2EE9-484B-A359-309D7551CF3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80" name="shapetype_202" hidden="1">
          <a:extLst>
            <a:ext uri="{FF2B5EF4-FFF2-40B4-BE49-F238E27FC236}">
              <a16:creationId xmlns:a16="http://schemas.microsoft.com/office/drawing/2014/main" id="{B638F2F0-75A4-1E47-9A15-C3945D48D6D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8" name="shapetype_202" hidden="1">
          <a:extLst>
            <a:ext uri="{FF2B5EF4-FFF2-40B4-BE49-F238E27FC236}">
              <a16:creationId xmlns:a16="http://schemas.microsoft.com/office/drawing/2014/main" id="{78CA496B-EEE2-2047-AAC4-0389198440F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6" name="shapetype_202" hidden="1">
          <a:extLst>
            <a:ext uri="{FF2B5EF4-FFF2-40B4-BE49-F238E27FC236}">
              <a16:creationId xmlns:a16="http://schemas.microsoft.com/office/drawing/2014/main" id="{97503B1B-AF28-9F45-A35F-7928ACDD1B0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546100</xdr:colOff>
      <xdr:row>76</xdr:row>
      <xdr:rowOff>152400</xdr:rowOff>
    </xdr:to>
    <xdr:sp macro="" textlink="">
      <xdr:nvSpPr>
        <xdr:cNvPr id="3074" name="shapetype_202" hidden="1">
          <a:extLst>
            <a:ext uri="{FF2B5EF4-FFF2-40B4-BE49-F238E27FC236}">
              <a16:creationId xmlns:a16="http://schemas.microsoft.com/office/drawing/2014/main" id="{668A237C-A18D-FE40-AEB9-216D54D142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431800</xdr:colOff>
      <xdr:row>76</xdr:row>
      <xdr:rowOff>152400</xdr:rowOff>
    </xdr:to>
    <xdr:sp macro="" textlink="">
      <xdr:nvSpPr>
        <xdr:cNvPr id="6154" name="shapetype_202" hidden="1">
          <a:extLst>
            <a:ext uri="{FF2B5EF4-FFF2-40B4-BE49-F238E27FC236}">
              <a16:creationId xmlns:a16="http://schemas.microsoft.com/office/drawing/2014/main" id="{B0479C30-60B6-6D46-8751-50B2432C74E6}"/>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52" name="shapetype_202" hidden="1">
          <a:extLst>
            <a:ext uri="{FF2B5EF4-FFF2-40B4-BE49-F238E27FC236}">
              <a16:creationId xmlns:a16="http://schemas.microsoft.com/office/drawing/2014/main" id="{FF3D4D93-ADA9-6B43-8919-30285C7BA6F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50" name="shapetype_202" hidden="1">
          <a:extLst>
            <a:ext uri="{FF2B5EF4-FFF2-40B4-BE49-F238E27FC236}">
              <a16:creationId xmlns:a16="http://schemas.microsoft.com/office/drawing/2014/main" id="{D447DE82-0C4C-094E-A1C0-F165EDC76DF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48" name="shapetype_202" hidden="1">
          <a:extLst>
            <a:ext uri="{FF2B5EF4-FFF2-40B4-BE49-F238E27FC236}">
              <a16:creationId xmlns:a16="http://schemas.microsoft.com/office/drawing/2014/main" id="{B21D57AD-012D-A444-B554-928169055E4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431800</xdr:colOff>
      <xdr:row>76</xdr:row>
      <xdr:rowOff>152400</xdr:rowOff>
    </xdr:to>
    <xdr:sp macro="" textlink="">
      <xdr:nvSpPr>
        <xdr:cNvPr id="6146" name="shapetype_202" hidden="1">
          <a:extLst>
            <a:ext uri="{FF2B5EF4-FFF2-40B4-BE49-F238E27FC236}">
              <a16:creationId xmlns:a16="http://schemas.microsoft.com/office/drawing/2014/main" id="{ED2EFCB3-77EA-8144-BDE8-C5564BD13EA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243840</xdr:colOff>
      <xdr:row>5</xdr:row>
      <xdr:rowOff>99060</xdr:rowOff>
    </xdr:from>
    <xdr:to>
      <xdr:col>9</xdr:col>
      <xdr:colOff>526623</xdr:colOff>
      <xdr:row>31</xdr:row>
      <xdr:rowOff>84196</xdr:rowOff>
    </xdr:to>
    <xdr:pic>
      <xdr:nvPicPr>
        <xdr:cNvPr id="2" name="Picture 1">
          <a:extLst>
            <a:ext uri="{FF2B5EF4-FFF2-40B4-BE49-F238E27FC236}">
              <a16:creationId xmlns:a16="http://schemas.microsoft.com/office/drawing/2014/main" id="{C5CACC2E-FC2D-12E2-18F6-69A2AAFB6A4A}"/>
            </a:ext>
          </a:extLst>
        </xdr:cNvPr>
        <xdr:cNvPicPr>
          <a:picLocks noChangeAspect="1"/>
        </xdr:cNvPicPr>
      </xdr:nvPicPr>
      <xdr:blipFill>
        <a:blip xmlns:r="http://schemas.openxmlformats.org/officeDocument/2006/relationships" r:embed="rId1"/>
        <a:stretch>
          <a:fillRect/>
        </a:stretch>
      </xdr:blipFill>
      <xdr:spPr>
        <a:xfrm>
          <a:off x="243840" y="937260"/>
          <a:ext cx="9731583" cy="43437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520700</xdr:colOff>
      <xdr:row>76</xdr:row>
      <xdr:rowOff>152400</xdr:rowOff>
    </xdr:to>
    <xdr:sp macro="" textlink="">
      <xdr:nvSpPr>
        <xdr:cNvPr id="5122" name="shapetype_202" hidden="1">
          <a:extLst>
            <a:ext uri="{FF2B5EF4-FFF2-40B4-BE49-F238E27FC236}">
              <a16:creationId xmlns:a16="http://schemas.microsoft.com/office/drawing/2014/main" id="{80148368-6132-7044-91BA-97339FFE23A2}"/>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Emma Harrison" id="{A146599C-7EA8-4C77-B4C4-A65FFFB8FE03}" userId="210e7f1ea2d7c28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FBD7EC-2B8F-4D46-BCCE-EBA7866B93FE}" name="Products" displayName="Products" ref="A1:I21" totalsRowShown="0" headerRowDxfId="39" dataDxfId="38">
  <autoFilter ref="A1:I21" xr:uid="{88FBD7EC-2B8F-4D46-BCCE-EBA7866B93FE}"/>
  <tableColumns count="9">
    <tableColumn id="1" xr3:uid="{6BAEBBF1-B446-40CB-8604-EFE55ADEC8D5}" name="SubstrateName"/>
    <tableColumn id="2" xr3:uid="{58502AB0-9929-48F0-A712-A067112819C0}" name="SubstrateType"/>
    <tableColumn id="3" xr3:uid="{CC1BDEF3-B901-483D-81A9-6425732CC551}" name="Formula" dataDxfId="37"/>
    <tableColumn id="4" xr3:uid="{BBFC2E77-1813-4187-9904-ECFCC17B7751}" name="C_n" dataDxfId="36"/>
    <tableColumn id="5" xr3:uid="{8F077508-0B17-4AB7-A034-61C5DC6BE9A1}" name="H_n" dataDxfId="35"/>
    <tableColumn id="6" xr3:uid="{17A15C1A-985E-4E2B-AE2B-6CD74112E48F}" name="O_n" dataDxfId="34"/>
    <tableColumn id="7" xr3:uid="{A94B9C75-4A61-47C1-8350-C0063F598479}" name="MW_S" dataDxfId="33">
      <calculatedColumnFormula>D2*12.0107+E2*1.00784+F2*15.999</calculatedColumnFormula>
    </tableColumn>
    <tableColumn id="8" xr3:uid="{0ABA7D88-6821-4AA1-B314-50140D6CCE92}" name="N_electrons" dataDxfId="32"/>
    <tableColumn id="9" xr3:uid="{C8DE8546-0002-43C6-A58F-48C300EC450E}" name="H2Ratio"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63B10-D918-4C70-A35B-DC88817447F7}" name="Categories" displayName="Categories" ref="A1:F8" totalsRowShown="0" headerRowDxfId="30" dataDxfId="29">
  <autoFilter ref="A1:F8" xr:uid="{EA863B10-D918-4C70-A35B-DC88817447F7}"/>
  <tableColumns count="6">
    <tableColumn id="1" xr3:uid="{04C0D513-FE06-48FF-89B0-0C2CA8DD88AE}" name="Tier" dataDxfId="28"/>
    <tableColumn id="2" xr3:uid="{1A572ADD-3DBA-4CCC-BF20-A66DF749F28E}" name="CellVoltage" dataDxfId="27"/>
    <tableColumn id="3" xr3:uid="{052B486B-FADC-4427-AEAE-A5E0C5466DDD}" name="CurrentDensity" dataDxfId="26"/>
    <tableColumn id="4" xr3:uid="{AF18287F-6B34-4C6D-AB71-A9FCE0852A1A}" name="FaradaicEfficiency" dataDxfId="25"/>
    <tableColumn id="5" xr3:uid="{77576FF1-9182-48FE-957A-374F91F0B4F3}" name="Conversion" dataDxfId="24"/>
    <tableColumn id="7" xr3:uid="{5129700A-4DC1-46DA-ACFA-31A32CFF26A7}"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1DA92-7CE5-4321-ADC4-61EFE8D1A01A}" name="Table4" displayName="Table4" ref="A1:K18" totalsRowShown="0" headerRowDxfId="23" dataDxfId="22">
  <autoFilter ref="A1:K18" xr:uid="{77B1DA92-7CE5-4321-ADC4-61EFE8D1A01A}"/>
  <tableColumns count="11">
    <tableColumn id="1" xr3:uid="{9432738B-B2E3-4571-831E-FF19FD3519A3}" name="SubstrateName"/>
    <tableColumn id="2" xr3:uid="{624D1408-13AB-4FAF-AE86-5F4DC7F04E7B}" name="Tier" dataDxfId="21"/>
    <tableColumn id="3" xr3:uid="{48B81833-7191-4E58-A76D-91F6A107A28A}" name="CellVoltage" dataDxfId="20">
      <calculatedColumnFormula>VLOOKUP($B2,Categories[],MATCH(C$1,Categories[#Headers],0),0)</calculatedColumnFormula>
    </tableColumn>
    <tableColumn id="4" xr3:uid="{98C90FFB-B338-4323-9120-B457D1F5D20B}" name="CurrentDensity" dataDxfId="19">
      <calculatedColumnFormula>VLOOKUP($B2,Categories[],MATCH(D$1,Categories[#Headers],0),0)</calculatedColumnFormula>
    </tableColumn>
    <tableColumn id="5" xr3:uid="{ACB70200-C99C-480E-8F8E-BD8B8A9DD3DE}" name="FaradaicEfficiency" dataDxfId="18"/>
    <tableColumn id="6" xr3:uid="{732D1866-35DC-4EE0-9659-39F85C78D83D}" name="Conversion" dataDxfId="17">
      <calculatedColumnFormula>VLOOKUP($B2,Categories[],MATCH(F$1,Categories[#Headers],0),0)</calculatedColumnFormula>
    </tableColumn>
    <tableColumn id="8" xr3:uid="{A6CD3C5B-AFD8-467C-9741-D6024BDA3ACD}" name="EnergyEfficiency" dataDxfId="16"/>
    <tableColumn id="9" xr3:uid="{32E2823B-49A9-4A01-BEBF-C32EE0CB7200}" name="ByProducts" dataDxfId="15"/>
    <tableColumn id="10" xr3:uid="{30E1568F-5851-4D7D-8DEB-0651F17161AE}" name="ByP_FE" dataDxfId="14"/>
    <tableColumn id="11" xr3:uid="{ADF980BC-32D8-436B-9A07-D48BCD9E4041}" name="Xco2" dataDxfId="13"/>
    <tableColumn id="12" xr3:uid="{2B5B7029-B592-414B-B2DC-A5E3B65AB923}" name="ScalingFactor"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C6AB51-9060-40C4-9AA9-37475AF99E8B}" name="Table3" displayName="Table3" ref="A1:K18" totalsRowShown="0" headerRowDxfId="11" dataDxfId="10">
  <autoFilter ref="A1:K18" xr:uid="{7DC6AB51-9060-40C4-9AA9-37475AF99E8B}"/>
  <tableColumns count="11">
    <tableColumn id="1" xr3:uid="{1D0A97B0-38E2-4C82-9A09-18EAA98B4259}" name="SubstrateName"/>
    <tableColumn id="2" xr3:uid="{C378C422-4BB7-4C46-849D-20C5E1AAE592}" name="Tier" dataDxfId="9"/>
    <tableColumn id="3" xr3:uid="{A473609A-100F-4C16-8C02-0697F2A6BD64}" name="CellVoltage" dataDxfId="8">
      <calculatedColumnFormula>VLOOKUP($B2,Categories[],MATCH(C$1,Categories[#Headers],0),0)</calculatedColumnFormula>
    </tableColumn>
    <tableColumn id="4" xr3:uid="{8E1B3BD0-ACDA-4842-A973-1888EEC9D454}" name="CurrentDensity" dataDxfId="7">
      <calculatedColumnFormula>VLOOKUP($B2,Categories[],MATCH(D$1,Categories[#Headers],0),0)</calculatedColumnFormula>
    </tableColumn>
    <tableColumn id="5" xr3:uid="{D95A2C36-7994-4836-BBC9-FE287D1AB30B}" name="FaradaicEfficiency" dataDxfId="6"/>
    <tableColumn id="6" xr3:uid="{B98A7582-AA98-4040-85E2-C996462C4228}" name="Conversion" dataDxfId="5">
      <calculatedColumnFormula>VLOOKUP($B2,Categories[],MATCH(F$1,Categories[#Headers],0),0)</calculatedColumnFormula>
    </tableColumn>
    <tableColumn id="8" xr3:uid="{36ADB41B-7BF0-4482-8A59-F7E892FC9490}" name="EnergyEfficiency" dataDxfId="4"/>
    <tableColumn id="9" xr3:uid="{F6CB64E6-27BD-4498-9CD3-8792C3781B42}" name="ByProducts" dataDxfId="3"/>
    <tableColumn id="10" xr3:uid="{347FC279-88E5-4846-8797-C4D8F84F9005}" name="ByP_FE" dataDxfId="2"/>
    <tableColumn id="11" xr3:uid="{F8756996-6E79-400E-A947-194F92860D2C}" name="Xco2" dataDxfId="1"/>
    <tableColumn id="12" xr3:uid="{407BCEDC-63E5-43C7-A637-455577D5A1A2}" name="ScalingFact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3-01-30T01:01:36.72" personId="{A146599C-7EA8-4C77-B4C4-A65FFFB8FE03}" id="{4CF72159-6AB0-45A3-89D6-1A42F9AA064D}">
    <text>Only relevant for mixtures with H2 (CO, CO2 or Formic acid), zero for everything else.
---Note on CO2:H2 mixtures:---
All FBA solutions (on bio side) require an H2:CO2 ratio between 2-4, so for the cost of ECR production alone, the cost for these two extremes are determined.
When cost for combined system is evaluated, the actual H2Ratio from the given FBA solution is used instead.</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1-29T16:25:56.56" personId="{A146599C-7EA8-4C77-B4C4-A65FFFB8FE03}" id="{077CF415-A5C8-4DD1-9831-58B6C97B49A0}">
    <text>V</text>
  </threadedComment>
  <threadedComment ref="C1" dT="2023-01-29T16:25:51.00" personId="{A146599C-7EA8-4C77-B4C4-A65FFFB8FE03}" id="{444DC424-C04F-424F-803D-E8A509D11425}">
    <text>mA/cm^2</text>
  </threadedComment>
  <threadedComment ref="D1" dT="2023-01-29T16:26:05.14" personId="{A146599C-7EA8-4C77-B4C4-A65FFFB8FE03}" id="{DB1221D7-D59D-4D6A-BF50-A61930E5A605}">
    <text>%
For CO2:H2 mixtures, 100% FE assumed (only hydrogen being produced, assuming only H2 produced)</text>
  </threadedComment>
  <threadedComment ref="E1" dT="2023-01-29T16:25:21.97" personId="{A146599C-7EA8-4C77-B4C4-A65FFFB8FE03}" id="{7F8A516D-3ECA-4349-884A-5A70B6F6969C}">
    <text>%, CO2 single pass conversion
Not applicable for CO2:H2 mixtures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30T01:28:38.84" personId="{A146599C-7EA8-4C77-B4C4-A65FFFB8FE03}" id="{7E2899F2-5FE5-40BD-99ED-C8DBD8ABE6B8}">
    <text>Sourced from Categories table based on assigned Tier</text>
  </threadedComment>
  <threadedComment ref="D1" dT="2023-01-30T01:28:42.61" personId="{A146599C-7EA8-4C77-B4C4-A65FFFB8FE03}" id="{CA4B8790-26DB-465A-BF24-892328B62077}">
    <text>Sourced from Categories table based on assigned Tier</text>
  </threadedComment>
  <threadedComment ref="E1" dT="2023-01-30T01:28:45.83" personId="{A146599C-7EA8-4C77-B4C4-A65FFFB8FE03}" id="{897CA138-F853-4D4D-802B-B4605F542CE9}">
    <text>Sourced from Categories table based on assigned Tier</text>
  </threadedComment>
  <threadedComment ref="F1" dT="2023-01-30T01:28:48.91" personId="{A146599C-7EA8-4C77-B4C4-A65FFFB8FE03}" id="{38DE55A0-AEDE-44CA-8EF8-AEB25CB243C8}">
    <text>Sourced from Categories table based on assigned Tier</text>
  </threadedComment>
  <threadedComment ref="H1" dT="2023-01-29T15:57:11.11" personId="{A146599C-7EA8-4C77-B4C4-A65FFFB8FE03}" id="{EB46DF5A-29F7-4FEB-B434-8644FA7441E6}">
    <tex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ext>
  </threadedComment>
  <threadedComment ref="J1" dT="2023-01-29T15:55:20.72" personId="{A146599C-7EA8-4C77-B4C4-A65FFFB8FE03}" id="{7CF01B63-125A-46D2-8F46-60E4EC2CD1CB}">
    <text>Mol CO2/mol electrons</text>
  </threadedComment>
  <threadedComment ref="E10" dT="2023-01-29T16:16:54.63" personId="{A146599C-7EA8-4C77-B4C4-A65FFFB8FE03}" id="{B597724B-C8D1-4D00-A821-6E02EB05FC79}">
    <text>Mix ratio: 1 CO: 0.5 H2
FE for CO: 100*(1/1.5)</text>
  </threadedComment>
  <threadedComment ref="E11" dT="2023-01-29T16:17:41.85" personId="{A146599C-7EA8-4C77-B4C4-A65FFFB8FE03}" id="{47E8BD71-3D0E-46BD-AFF7-98F792A1E886}">
    <text xml:space="preserve">Mix ratio: 1 CO: 1 H2
FE for CO: 100*(1/2)
</text>
  </threadedComment>
  <threadedComment ref="E12" dT="2023-01-29T16:18:02.92" personId="{A146599C-7EA8-4C77-B4C4-A65FFFB8FE03}" id="{4E026448-66B5-434E-B1CC-607D6B20B92E}">
    <text xml:space="preserve">Mix ratio: 1 CO: 2 H2
FE for CO: 100*(1/3)
</text>
  </threadedComment>
  <threadedComment ref="E13" dT="2023-01-29T16:16:54.63" personId="{A146599C-7EA8-4C77-B4C4-A65FFFB8FE03}" id="{03E102D3-7D75-4CE8-8E43-DC3AE069BEB7}">
    <text>Mix ratio: 1 FA: 0.5 H2
FE for FA: 100*(1/1.5)</text>
  </threadedComment>
  <threadedComment ref="E14" dT="2023-01-29T16:17:41.85" personId="{A146599C-7EA8-4C77-B4C4-A65FFFB8FE03}" id="{F99ED336-3E55-422F-970C-199D2123480F}">
    <text xml:space="preserve">Mix ratio: 1 FA: 1 H2
FE for FA: 100*(1/2)
</text>
  </threadedComment>
  <threadedComment ref="E15" dT="2023-01-29T16:18:02.92" personId="{A146599C-7EA8-4C77-B4C4-A65FFFB8FE03}" id="{5654C464-529C-44AE-9B00-C6CA9D02DDD8}">
    <text xml:space="preserve">Mix ratio: 1 FA: 2 H2
FE for FA: 100*(1/3)
</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30T01:28:38.84" personId="{A146599C-7EA8-4C77-B4C4-A65FFFB8FE03}" id="{4541EB82-FD8F-4FA0-9436-8947B8EEA5C1}">
    <text>Sourced from Categories table based on assigned Tier</text>
  </threadedComment>
  <threadedComment ref="D1" dT="2023-01-30T01:28:42.61" personId="{A146599C-7EA8-4C77-B4C4-A65FFFB8FE03}" id="{DE4A5A0F-3C39-4305-BC73-8B2C2CBCDB61}">
    <text>Sourced from Categories table based on assigned Tier</text>
  </threadedComment>
  <threadedComment ref="E1" dT="2023-01-30T01:28:45.83" personId="{A146599C-7EA8-4C77-B4C4-A65FFFB8FE03}" id="{9E9F6D4A-19A5-4271-A989-72C144CF5BD9}">
    <text>Sourced from Categories table based on assigned Tier</text>
  </threadedComment>
  <threadedComment ref="F1" dT="2023-01-30T01:28:48.91" personId="{A146599C-7EA8-4C77-B4C4-A65FFFB8FE03}" id="{7ABB691F-77B9-484A-84A8-F85BD2E56776}">
    <text>Sourced from Categories table based on assigned Tier</text>
  </threadedComment>
  <threadedComment ref="H1" dT="2023-01-29T15:57:11.11" personId="{A146599C-7EA8-4C77-B4C4-A65FFFB8FE03}" id="{70157D93-C559-4C07-8492-30B548388075}">
    <text>The amount of carbon converted for a given product is proportional to the sum of the FE*Nco2/Ne for all product species (where Nco2 is the mol CO2 required per mol product and Ne is the the mol electrons required per mol product). The worst case scenario will be for the highest Nco2 and lowest Ne values (so highest Nco2/Ne ratio), which when considering all the possible ECR products is Nco2/Ne=1/2 (formate). Therefore, for the ideal case I have assumed “formate” as the by-product, with an Nco2/Ne ratio of 1/2, which will lead to a carbon use equal to or slightly higher than what would occur in reality.</text>
  </threadedComment>
  <threadedComment ref="J1" dT="2023-01-29T15:55:20.72" personId="{A146599C-7EA8-4C77-B4C4-A65FFFB8FE03}" id="{CE6223D9-8319-4919-9F83-D96F95AAB564}">
    <text>Mol CO2/mol electrons</text>
  </threadedComment>
  <threadedComment ref="E10" dT="2023-01-29T16:16:54.63" personId="{A146599C-7EA8-4C77-B4C4-A65FFFB8FE03}" id="{6E43BAF1-F20D-4616-9F27-FFFECF6E0D7D}">
    <text>Mix ratio: 1 CO: 0.5 H2
FE for CO: 100*(1/1.5)</text>
  </threadedComment>
  <threadedComment ref="E11" dT="2023-01-29T16:17:41.85" personId="{A146599C-7EA8-4C77-B4C4-A65FFFB8FE03}" id="{F5A3C772-1054-49B7-B103-4EF672926ABC}">
    <text xml:space="preserve">Mix ratio: 1 CO: 1 H2
FE for CO: 100*(1/2)
</text>
  </threadedComment>
  <threadedComment ref="E12" dT="2023-01-29T16:18:02.92" personId="{A146599C-7EA8-4C77-B4C4-A65FFFB8FE03}" id="{C903C8CC-EB18-4235-AB84-F71B8DB3FC89}">
    <text xml:space="preserve">Mix ratio: 1 CO: 2 H2
FE for CO: 100*(1/3)
</text>
  </threadedComment>
  <threadedComment ref="E13" dT="2023-01-29T16:16:54.63" personId="{A146599C-7EA8-4C77-B4C4-A65FFFB8FE03}" id="{0887C70F-AF24-4799-B60A-0FB6D8ACB829}">
    <text>Mix ratio: 1 FA: 0.5 H2
FE for FA: 100*(1/1.5)</text>
  </threadedComment>
  <threadedComment ref="E14" dT="2023-01-29T16:17:41.85" personId="{A146599C-7EA8-4C77-B4C4-A65FFFB8FE03}" id="{D22AF9D9-6460-4F7E-A6E7-3589F163A97B}">
    <text xml:space="preserve">Mix ratio: 1 FA: 1 H2
FE for FA: 100*(1/2)
</text>
  </threadedComment>
  <threadedComment ref="E15" dT="2023-01-29T16:18:02.92" personId="{A146599C-7EA8-4C77-B4C4-A65FFFB8FE03}" id="{6EB63FC3-0F6D-4C36-B96B-EC637C3E0135}">
    <text xml:space="preserve">Mix ratio: 1 FA: 2 H2
FE for FA: 100*(1/3)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zoomScaleNormal="100" workbookViewId="0">
      <selection activeCell="K20" sqref="K20"/>
    </sheetView>
  </sheetViews>
  <sheetFormatPr defaultColWidth="8.7109375" defaultRowHeight="13.15"/>
  <cols>
    <col min="1" max="1" width="17.7109375" customWidth="1"/>
    <col min="2" max="2" width="16.7109375" customWidth="1"/>
    <col min="3" max="3" width="11.42578125"/>
    <col min="4" max="4" width="11.42578125" style="1"/>
    <col min="5" max="7" width="11.42578125"/>
    <col min="8" max="8" width="13.28515625" customWidth="1"/>
    <col min="9" max="1025" width="11.42578125"/>
  </cols>
  <sheetData>
    <row r="1" spans="1:9">
      <c r="A1" s="3" t="s">
        <v>0</v>
      </c>
      <c r="B1" s="3" t="s">
        <v>1</v>
      </c>
      <c r="C1" s="3" t="s">
        <v>2</v>
      </c>
      <c r="D1" s="3" t="s">
        <v>3</v>
      </c>
      <c r="E1" s="3" t="s">
        <v>4</v>
      </c>
      <c r="F1" s="3" t="s">
        <v>5</v>
      </c>
      <c r="G1" s="3" t="s">
        <v>6</v>
      </c>
      <c r="H1" s="3" t="s">
        <v>7</v>
      </c>
      <c r="I1" s="3" t="s">
        <v>8</v>
      </c>
    </row>
    <row r="2" spans="1:9" ht="13.9">
      <c r="A2" t="s">
        <v>9</v>
      </c>
      <c r="B2" t="s">
        <v>10</v>
      </c>
      <c r="C2" s="1" t="s">
        <v>11</v>
      </c>
      <c r="D2" s="1">
        <v>2</v>
      </c>
      <c r="E2" s="1">
        <v>4</v>
      </c>
      <c r="F2" s="1">
        <v>1</v>
      </c>
      <c r="G2" s="1">
        <f t="shared" ref="G2:G21" si="0">D2*12.0107+E2*1.00784+F2*15.999</f>
        <v>44.051760000000002</v>
      </c>
      <c r="H2" s="4">
        <v>10</v>
      </c>
      <c r="I2" s="1">
        <v>0</v>
      </c>
    </row>
    <row r="3" spans="1:9" ht="13.9">
      <c r="A3" t="s">
        <v>12</v>
      </c>
      <c r="B3" t="s">
        <v>10</v>
      </c>
      <c r="C3" s="5" t="s">
        <v>13</v>
      </c>
      <c r="D3" s="1">
        <v>2</v>
      </c>
      <c r="E3" s="1">
        <v>4</v>
      </c>
      <c r="F3" s="1">
        <v>2</v>
      </c>
      <c r="G3" s="1">
        <f t="shared" si="0"/>
        <v>60.050759999999997</v>
      </c>
      <c r="H3" s="4">
        <v>8</v>
      </c>
      <c r="I3" s="1">
        <v>0</v>
      </c>
    </row>
    <row r="4" spans="1:9" ht="13.9">
      <c r="A4" t="s">
        <v>14</v>
      </c>
      <c r="B4" t="s">
        <v>10</v>
      </c>
      <c r="C4" s="5" t="s">
        <v>15</v>
      </c>
      <c r="D4" s="1">
        <v>2</v>
      </c>
      <c r="E4" s="1">
        <v>6</v>
      </c>
      <c r="F4" s="1">
        <v>1</v>
      </c>
      <c r="G4" s="1">
        <f t="shared" si="0"/>
        <v>46.067440000000005</v>
      </c>
      <c r="H4" s="4">
        <v>12</v>
      </c>
      <c r="I4" s="1">
        <v>0</v>
      </c>
    </row>
    <row r="5" spans="1:9" ht="13.9">
      <c r="A5" t="s">
        <v>16</v>
      </c>
      <c r="B5" t="s">
        <v>10</v>
      </c>
      <c r="C5" s="5" t="s">
        <v>17</v>
      </c>
      <c r="D5" s="1">
        <v>2</v>
      </c>
      <c r="E5" s="1">
        <v>6</v>
      </c>
      <c r="F5" s="1">
        <v>2</v>
      </c>
      <c r="G5" s="1">
        <f t="shared" si="0"/>
        <v>62.06644</v>
      </c>
      <c r="H5" s="4">
        <v>10</v>
      </c>
      <c r="I5" s="1">
        <v>0</v>
      </c>
    </row>
    <row r="6" spans="1:9" ht="13.9">
      <c r="A6" t="s">
        <v>18</v>
      </c>
      <c r="B6" t="s">
        <v>10</v>
      </c>
      <c r="C6" s="1" t="s">
        <v>19</v>
      </c>
      <c r="D6" s="1">
        <v>1</v>
      </c>
      <c r="E6" s="1">
        <v>1</v>
      </c>
      <c r="F6" s="1">
        <v>2</v>
      </c>
      <c r="G6" s="1">
        <f t="shared" si="0"/>
        <v>45.016539999999999</v>
      </c>
      <c r="H6" s="4">
        <v>2</v>
      </c>
      <c r="I6" s="1">
        <v>0</v>
      </c>
    </row>
    <row r="7" spans="1:9" ht="13.9">
      <c r="A7" t="s">
        <v>20</v>
      </c>
      <c r="B7" t="s">
        <v>10</v>
      </c>
      <c r="C7" s="1" t="s">
        <v>21</v>
      </c>
      <c r="D7" s="1">
        <v>2</v>
      </c>
      <c r="E7" s="1">
        <v>4</v>
      </c>
      <c r="F7" s="1">
        <v>2</v>
      </c>
      <c r="G7" s="1">
        <f t="shared" si="0"/>
        <v>60.050759999999997</v>
      </c>
      <c r="H7" s="4">
        <v>8</v>
      </c>
      <c r="I7" s="1">
        <v>0</v>
      </c>
    </row>
    <row r="8" spans="1:9" ht="13.9">
      <c r="A8" t="s">
        <v>22</v>
      </c>
      <c r="B8" t="s">
        <v>10</v>
      </c>
      <c r="C8" s="5" t="s">
        <v>23</v>
      </c>
      <c r="D8" s="1">
        <v>1</v>
      </c>
      <c r="E8" s="1">
        <v>4</v>
      </c>
      <c r="F8" s="1">
        <v>1</v>
      </c>
      <c r="G8" s="1">
        <f t="shared" si="0"/>
        <v>32.041060000000002</v>
      </c>
      <c r="H8" s="4">
        <v>6</v>
      </c>
      <c r="I8" s="1">
        <v>0</v>
      </c>
    </row>
    <row r="9" spans="1:9">
      <c r="A9" t="s">
        <v>24</v>
      </c>
      <c r="B9" t="s">
        <v>10</v>
      </c>
      <c r="C9" s="1" t="s">
        <v>25</v>
      </c>
      <c r="D9" s="1">
        <v>1</v>
      </c>
      <c r="E9" s="1">
        <v>4</v>
      </c>
      <c r="F9" s="1">
        <v>0</v>
      </c>
      <c r="G9" s="1">
        <f t="shared" si="0"/>
        <v>16.042059999999999</v>
      </c>
      <c r="H9" s="1">
        <v>8</v>
      </c>
      <c r="I9" s="1">
        <v>0</v>
      </c>
    </row>
    <row r="10" spans="1:9">
      <c r="A10" t="s">
        <v>26</v>
      </c>
      <c r="B10" t="s">
        <v>10</v>
      </c>
      <c r="C10" s="1" t="s">
        <v>27</v>
      </c>
      <c r="D10" s="1">
        <v>2</v>
      </c>
      <c r="E10" s="1">
        <v>4</v>
      </c>
      <c r="F10" s="1">
        <v>0</v>
      </c>
      <c r="G10" s="1">
        <f t="shared" si="0"/>
        <v>28.052759999999999</v>
      </c>
      <c r="H10" s="1">
        <v>12</v>
      </c>
      <c r="I10" s="1">
        <v>0</v>
      </c>
    </row>
    <row r="11" spans="1:9">
      <c r="A11" t="s">
        <v>28</v>
      </c>
      <c r="B11" t="s">
        <v>10</v>
      </c>
      <c r="C11" s="1" t="s">
        <v>29</v>
      </c>
      <c r="D11" s="1">
        <v>1</v>
      </c>
      <c r="E11" s="1">
        <v>0</v>
      </c>
      <c r="F11" s="1">
        <v>1</v>
      </c>
      <c r="G11" s="1">
        <f t="shared" si="0"/>
        <v>28.009700000000002</v>
      </c>
      <c r="H11" s="1">
        <v>2</v>
      </c>
      <c r="I11" s="1">
        <v>0</v>
      </c>
    </row>
    <row r="12" spans="1:9">
      <c r="A12" t="s">
        <v>30</v>
      </c>
      <c r="B12" t="s">
        <v>30</v>
      </c>
      <c r="C12" s="1" t="s">
        <v>31</v>
      </c>
      <c r="D12" s="1">
        <v>0</v>
      </c>
      <c r="E12" s="1">
        <v>2</v>
      </c>
      <c r="F12" s="1">
        <v>0</v>
      </c>
      <c r="G12" s="1">
        <f t="shared" si="0"/>
        <v>2.0156800000000001</v>
      </c>
      <c r="H12" s="1">
        <v>2</v>
      </c>
      <c r="I12" s="1">
        <v>0</v>
      </c>
    </row>
    <row r="13" spans="1:9">
      <c r="A13" t="s">
        <v>32</v>
      </c>
      <c r="B13" t="s">
        <v>33</v>
      </c>
      <c r="C13" s="1" t="s">
        <v>29</v>
      </c>
      <c r="D13" s="1">
        <v>1</v>
      </c>
      <c r="E13" s="1">
        <v>0</v>
      </c>
      <c r="F13" s="1">
        <v>1</v>
      </c>
      <c r="G13" s="1">
        <f t="shared" si="0"/>
        <v>28.009700000000002</v>
      </c>
      <c r="H13" s="1">
        <v>2</v>
      </c>
      <c r="I13" s="1">
        <v>0.5</v>
      </c>
    </row>
    <row r="14" spans="1:9">
      <c r="A14" t="s">
        <v>34</v>
      </c>
      <c r="B14" t="s">
        <v>33</v>
      </c>
      <c r="C14" s="1" t="s">
        <v>29</v>
      </c>
      <c r="D14" s="1">
        <v>1</v>
      </c>
      <c r="E14" s="1">
        <v>0</v>
      </c>
      <c r="F14" s="1">
        <v>1</v>
      </c>
      <c r="G14" s="1">
        <f t="shared" si="0"/>
        <v>28.009700000000002</v>
      </c>
      <c r="H14" s="1">
        <v>2</v>
      </c>
      <c r="I14" s="1">
        <v>1</v>
      </c>
    </row>
    <row r="15" spans="1:9">
      <c r="A15" t="s">
        <v>35</v>
      </c>
      <c r="B15" t="s">
        <v>33</v>
      </c>
      <c r="C15" s="1" t="s">
        <v>29</v>
      </c>
      <c r="D15" s="1">
        <v>1</v>
      </c>
      <c r="E15" s="1">
        <v>0</v>
      </c>
      <c r="F15" s="1">
        <v>1</v>
      </c>
      <c r="G15" s="1">
        <f t="shared" si="0"/>
        <v>28.009700000000002</v>
      </c>
      <c r="H15" s="1">
        <v>2</v>
      </c>
      <c r="I15" s="1">
        <v>2</v>
      </c>
    </row>
    <row r="16" spans="1:9" ht="13.9">
      <c r="A16" t="s">
        <v>36</v>
      </c>
      <c r="B16" t="s">
        <v>33</v>
      </c>
      <c r="C16" s="1" t="s">
        <v>19</v>
      </c>
      <c r="D16" s="1">
        <v>1</v>
      </c>
      <c r="E16" s="1">
        <v>1</v>
      </c>
      <c r="F16" s="1">
        <v>2</v>
      </c>
      <c r="G16" s="1">
        <f t="shared" si="0"/>
        <v>45.016539999999999</v>
      </c>
      <c r="H16" s="4">
        <v>2</v>
      </c>
      <c r="I16" s="1">
        <v>0.5</v>
      </c>
    </row>
    <row r="17" spans="1:9" ht="13.9">
      <c r="A17" t="s">
        <v>37</v>
      </c>
      <c r="B17" t="s">
        <v>33</v>
      </c>
      <c r="C17" s="1" t="s">
        <v>19</v>
      </c>
      <c r="D17" s="1">
        <v>1</v>
      </c>
      <c r="E17" s="1">
        <v>1</v>
      </c>
      <c r="F17" s="1">
        <v>2</v>
      </c>
      <c r="G17" s="1">
        <f t="shared" si="0"/>
        <v>45.016539999999999</v>
      </c>
      <c r="H17" s="4">
        <v>2</v>
      </c>
      <c r="I17" s="1">
        <v>1</v>
      </c>
    </row>
    <row r="18" spans="1:9" ht="13.9">
      <c r="A18" t="s">
        <v>38</v>
      </c>
      <c r="B18" t="s">
        <v>33</v>
      </c>
      <c r="C18" s="1" t="s">
        <v>19</v>
      </c>
      <c r="D18" s="1">
        <v>1</v>
      </c>
      <c r="E18" s="1">
        <v>1</v>
      </c>
      <c r="F18" s="1">
        <v>2</v>
      </c>
      <c r="G18" s="1">
        <f t="shared" si="0"/>
        <v>45.016539999999999</v>
      </c>
      <c r="H18" s="4">
        <v>2</v>
      </c>
      <c r="I18" s="1">
        <v>2</v>
      </c>
    </row>
    <row r="19" spans="1:9" ht="13.9">
      <c r="A19" t="s">
        <v>39</v>
      </c>
      <c r="B19" t="s">
        <v>40</v>
      </c>
      <c r="C19" s="1" t="s">
        <v>41</v>
      </c>
      <c r="D19" s="1">
        <v>1</v>
      </c>
      <c r="E19" s="1">
        <v>0</v>
      </c>
      <c r="F19" s="1">
        <v>2</v>
      </c>
      <c r="G19" s="1">
        <f t="shared" si="0"/>
        <v>44.008700000000005</v>
      </c>
      <c r="H19" s="4">
        <v>2</v>
      </c>
      <c r="I19" s="1">
        <v>2</v>
      </c>
    </row>
    <row r="20" spans="1:9" ht="13.9">
      <c r="A20" t="s">
        <v>42</v>
      </c>
      <c r="B20" t="s">
        <v>40</v>
      </c>
      <c r="C20" s="1" t="s">
        <v>41</v>
      </c>
      <c r="D20" s="1">
        <v>1</v>
      </c>
      <c r="E20" s="1">
        <v>0</v>
      </c>
      <c r="F20" s="1">
        <v>2</v>
      </c>
      <c r="G20" s="1">
        <f t="shared" si="0"/>
        <v>44.008700000000005</v>
      </c>
      <c r="H20" s="4">
        <v>2</v>
      </c>
      <c r="I20" s="1">
        <v>4</v>
      </c>
    </row>
    <row r="21" spans="1:9" ht="13.9">
      <c r="A21" t="s">
        <v>43</v>
      </c>
      <c r="B21" t="s">
        <v>40</v>
      </c>
      <c r="C21" s="1" t="s">
        <v>41</v>
      </c>
      <c r="D21" s="1">
        <v>1</v>
      </c>
      <c r="E21" s="1">
        <v>0</v>
      </c>
      <c r="F21" s="1">
        <v>2</v>
      </c>
      <c r="G21" s="1">
        <f t="shared" si="0"/>
        <v>44.008700000000005</v>
      </c>
      <c r="H21" s="4">
        <v>2</v>
      </c>
      <c r="I21" s="1" t="s">
        <v>44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
  <sheetViews>
    <sheetView zoomScaleNormal="100" workbookViewId="0">
      <selection activeCell="E18" sqref="E18"/>
    </sheetView>
  </sheetViews>
  <sheetFormatPr defaultColWidth="8.7109375" defaultRowHeight="13.15"/>
  <cols>
    <col min="1" max="1" width="17.28515625" style="6" customWidth="1"/>
    <col min="2" max="2" width="15" style="6" customWidth="1"/>
    <col min="3" max="5" width="11.42578125"/>
    <col min="6" max="6" width="15.42578125" customWidth="1"/>
    <col min="7" max="7" width="16.7109375" customWidth="1"/>
    <col min="8" max="8" width="14.7109375" customWidth="1"/>
    <col min="9" max="1025" width="11.42578125"/>
  </cols>
  <sheetData>
    <row r="1" spans="1:9">
      <c r="A1" s="7" t="s">
        <v>94</v>
      </c>
      <c r="B1" s="7" t="s">
        <v>95</v>
      </c>
      <c r="C1" s="7" t="s">
        <v>96</v>
      </c>
      <c r="D1" s="7" t="s">
        <v>97</v>
      </c>
      <c r="E1" s="7" t="s">
        <v>49</v>
      </c>
      <c r="F1" s="7" t="s">
        <v>98</v>
      </c>
      <c r="G1" s="7" t="s">
        <v>48</v>
      </c>
      <c r="H1" s="7" t="s">
        <v>47</v>
      </c>
      <c r="I1" s="7" t="s">
        <v>46</v>
      </c>
    </row>
    <row r="2" spans="1:9">
      <c r="A2" s="7" t="s">
        <v>99</v>
      </c>
      <c r="B2" s="1" t="s">
        <v>100</v>
      </c>
      <c r="C2" s="1" t="s">
        <v>101</v>
      </c>
      <c r="D2" s="1" t="s">
        <v>101</v>
      </c>
      <c r="E2" s="1" t="s">
        <v>102</v>
      </c>
      <c r="F2" s="1" t="s">
        <v>103</v>
      </c>
      <c r="G2" s="1" t="s">
        <v>102</v>
      </c>
      <c r="H2" s="1" t="s">
        <v>104</v>
      </c>
      <c r="I2" s="1" t="s">
        <v>105</v>
      </c>
    </row>
    <row r="3" spans="1:9">
      <c r="A3" s="2" t="s">
        <v>106</v>
      </c>
      <c r="B3" s="1">
        <f>8/100</f>
        <v>0.08</v>
      </c>
      <c r="C3" s="1">
        <v>140</v>
      </c>
      <c r="D3" s="1">
        <v>30</v>
      </c>
      <c r="E3" s="1">
        <v>30</v>
      </c>
      <c r="F3" s="1">
        <v>4000</v>
      </c>
      <c r="G3" s="1">
        <v>50</v>
      </c>
      <c r="H3" s="1">
        <v>100</v>
      </c>
      <c r="I3" s="1">
        <v>4</v>
      </c>
    </row>
    <row r="4" spans="1:9">
      <c r="A4" s="2" t="s">
        <v>78</v>
      </c>
      <c r="B4" s="1">
        <f>5/100</f>
        <v>0.05</v>
      </c>
      <c r="C4" s="1">
        <v>100</v>
      </c>
      <c r="D4" s="1">
        <v>100</v>
      </c>
      <c r="E4" s="1">
        <v>50</v>
      </c>
      <c r="F4" s="1">
        <v>2000</v>
      </c>
      <c r="G4" s="1">
        <v>70</v>
      </c>
      <c r="H4" s="1">
        <v>300</v>
      </c>
      <c r="I4" s="1">
        <v>3</v>
      </c>
    </row>
    <row r="5" spans="1:9">
      <c r="A5" s="2" t="s">
        <v>80</v>
      </c>
      <c r="B5" s="1">
        <f>2.5/100</f>
        <v>2.5000000000000001E-2</v>
      </c>
      <c r="C5" s="1">
        <v>55</v>
      </c>
      <c r="D5" s="1">
        <v>170</v>
      </c>
      <c r="E5" s="1">
        <v>70</v>
      </c>
      <c r="F5" s="1">
        <v>1000</v>
      </c>
      <c r="G5" s="1">
        <v>90</v>
      </c>
      <c r="H5" s="1">
        <v>1000</v>
      </c>
      <c r="I5" s="1">
        <v>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
  <sheetViews>
    <sheetView zoomScaleNormal="100" workbookViewId="0">
      <selection activeCell="H5" sqref="H5"/>
    </sheetView>
  </sheetViews>
  <sheetFormatPr defaultColWidth="8.7109375" defaultRowHeight="13.15"/>
  <cols>
    <col min="1" max="1" width="17.28515625" style="6" customWidth="1"/>
    <col min="2" max="2" width="15" style="6" customWidth="1"/>
    <col min="3" max="5" width="11.42578125"/>
    <col min="6" max="6" width="15.42578125" customWidth="1"/>
    <col min="7" max="7" width="16.7109375" customWidth="1"/>
    <col min="8" max="8" width="14.7109375" customWidth="1"/>
    <col min="9" max="1025" width="11.42578125"/>
  </cols>
  <sheetData>
    <row r="1" spans="1:9">
      <c r="A1" s="7" t="s">
        <v>94</v>
      </c>
      <c r="B1" s="7" t="s">
        <v>95</v>
      </c>
      <c r="C1" s="7" t="s">
        <v>96</v>
      </c>
      <c r="D1" s="7" t="s">
        <v>97</v>
      </c>
      <c r="E1" s="7" t="s">
        <v>49</v>
      </c>
      <c r="F1" s="7" t="s">
        <v>98</v>
      </c>
      <c r="G1" s="7" t="s">
        <v>48</v>
      </c>
      <c r="H1" s="7" t="s">
        <v>47</v>
      </c>
      <c r="I1" s="7" t="s">
        <v>46</v>
      </c>
    </row>
    <row r="2" spans="1:9">
      <c r="A2" s="7" t="s">
        <v>99</v>
      </c>
      <c r="B2" s="1" t="s">
        <v>100</v>
      </c>
      <c r="C2" s="1" t="s">
        <v>101</v>
      </c>
      <c r="D2" s="1" t="s">
        <v>101</v>
      </c>
      <c r="E2" s="1" t="s">
        <v>102</v>
      </c>
      <c r="F2" s="1" t="s">
        <v>103</v>
      </c>
      <c r="G2" s="1" t="s">
        <v>102</v>
      </c>
      <c r="H2" s="1" t="s">
        <v>104</v>
      </c>
      <c r="I2" s="1" t="s">
        <v>105</v>
      </c>
    </row>
    <row r="3" spans="1:9">
      <c r="A3" s="2" t="s">
        <v>106</v>
      </c>
      <c r="B3" s="1">
        <f>6/100</f>
        <v>0.06</v>
      </c>
      <c r="C3" s="1">
        <f>60/0.78/0.9</f>
        <v>85.470085470085465</v>
      </c>
      <c r="D3" s="1">
        <v>0</v>
      </c>
      <c r="E3" s="1">
        <v>50</v>
      </c>
      <c r="F3" s="1">
        <f>15*10^3/0.78</f>
        <v>19230.76923076923</v>
      </c>
      <c r="G3" s="1">
        <v>50</v>
      </c>
      <c r="H3" s="1">
        <v>100</v>
      </c>
      <c r="I3" s="1">
        <v>2.5</v>
      </c>
    </row>
    <row r="4" spans="1:9">
      <c r="A4" s="2" t="s">
        <v>78</v>
      </c>
      <c r="B4" s="1">
        <f>4/100</f>
        <v>0.04</v>
      </c>
      <c r="C4" s="1">
        <f>40/0.78/0.9</f>
        <v>56.980056980056972</v>
      </c>
      <c r="D4" s="1">
        <v>0</v>
      </c>
      <c r="E4" s="1">
        <v>100</v>
      </c>
      <c r="F4" s="1">
        <f>10*10^3/0.78</f>
        <v>12820.51282051282</v>
      </c>
      <c r="G4" s="1">
        <v>70</v>
      </c>
      <c r="H4" s="1">
        <v>300</v>
      </c>
      <c r="I4" s="1">
        <v>2</v>
      </c>
    </row>
    <row r="5" spans="1:9">
      <c r="A5" s="2" t="s">
        <v>80</v>
      </c>
      <c r="B5" s="1">
        <f>2/100</f>
        <v>0.02</v>
      </c>
      <c r="C5" s="1">
        <f>20/0.78/0.9</f>
        <v>28.490028490028486</v>
      </c>
      <c r="D5" s="1">
        <v>50</v>
      </c>
      <c r="E5" s="1">
        <v>100</v>
      </c>
      <c r="F5" s="1">
        <f>5*10^3/0.78</f>
        <v>6410.2564102564102</v>
      </c>
      <c r="G5" s="1">
        <v>90</v>
      </c>
      <c r="H5" s="1">
        <v>1000</v>
      </c>
      <c r="I5" s="1">
        <v>1.6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C7B1-25B4-42CC-A665-7B1837D53657}">
  <dimension ref="A1:F8"/>
  <sheetViews>
    <sheetView workbookViewId="0">
      <selection activeCell="H18" sqref="H18"/>
    </sheetView>
  </sheetViews>
  <sheetFormatPr defaultRowHeight="13.15"/>
  <cols>
    <col min="2" max="2" width="13.28515625" customWidth="1"/>
    <col min="3" max="3" width="15.85546875" customWidth="1"/>
    <col min="4" max="4" width="19.28515625" customWidth="1"/>
    <col min="5" max="5" width="15.42578125" bestFit="1" customWidth="1"/>
    <col min="6" max="6" width="46.28515625" customWidth="1"/>
  </cols>
  <sheetData>
    <row r="1" spans="1:6">
      <c r="A1" s="3" t="s">
        <v>45</v>
      </c>
      <c r="B1" s="3" t="s">
        <v>46</v>
      </c>
      <c r="C1" s="3" t="s">
        <v>47</v>
      </c>
      <c r="D1" s="3" t="s">
        <v>48</v>
      </c>
      <c r="E1" s="3" t="s">
        <v>49</v>
      </c>
      <c r="F1" s="3" t="s">
        <v>50</v>
      </c>
    </row>
    <row r="2" spans="1:6">
      <c r="A2" s="1">
        <v>1</v>
      </c>
      <c r="B2" s="10">
        <v>4</v>
      </c>
      <c r="C2" s="1">
        <v>20</v>
      </c>
      <c r="D2" s="1">
        <v>5</v>
      </c>
      <c r="E2" s="10">
        <v>50</v>
      </c>
      <c r="F2" t="s">
        <v>20</v>
      </c>
    </row>
    <row r="3" spans="1:6">
      <c r="A3" s="1">
        <v>2</v>
      </c>
      <c r="B3" s="10">
        <v>2</v>
      </c>
      <c r="C3" s="1">
        <v>20</v>
      </c>
      <c r="D3" s="1">
        <v>60</v>
      </c>
      <c r="E3" s="10">
        <v>50</v>
      </c>
      <c r="F3" t="s">
        <v>51</v>
      </c>
    </row>
    <row r="4" spans="1:6">
      <c r="A4" s="1">
        <v>3</v>
      </c>
      <c r="B4" s="10">
        <v>2.5</v>
      </c>
      <c r="C4" s="1">
        <v>200</v>
      </c>
      <c r="D4" s="1">
        <v>50</v>
      </c>
      <c r="E4" s="10">
        <v>50</v>
      </c>
      <c r="F4" t="s">
        <v>52</v>
      </c>
    </row>
    <row r="5" spans="1:6">
      <c r="A5" s="1">
        <v>4</v>
      </c>
      <c r="B5" s="1">
        <v>4</v>
      </c>
      <c r="C5" s="1">
        <v>300</v>
      </c>
      <c r="D5" s="1">
        <v>70</v>
      </c>
      <c r="E5" s="1">
        <v>20</v>
      </c>
      <c r="F5" t="s">
        <v>53</v>
      </c>
    </row>
    <row r="6" spans="1:6">
      <c r="A6" s="1">
        <v>5</v>
      </c>
      <c r="B6" s="10">
        <v>2</v>
      </c>
      <c r="C6" s="1">
        <v>500</v>
      </c>
      <c r="D6" s="1">
        <v>90</v>
      </c>
      <c r="E6" s="1">
        <v>60</v>
      </c>
      <c r="F6" t="s">
        <v>54</v>
      </c>
    </row>
    <row r="7" spans="1:6">
      <c r="A7" s="1">
        <v>6</v>
      </c>
      <c r="B7" s="1">
        <v>3</v>
      </c>
      <c r="C7" s="1">
        <v>300</v>
      </c>
      <c r="D7" s="1">
        <v>100</v>
      </c>
      <c r="E7" s="12" t="s">
        <v>44</v>
      </c>
      <c r="F7" t="s">
        <v>55</v>
      </c>
    </row>
    <row r="8" spans="1:6">
      <c r="A8" s="1">
        <v>7</v>
      </c>
      <c r="B8" s="1">
        <v>2</v>
      </c>
      <c r="C8" s="1">
        <v>500</v>
      </c>
      <c r="D8" s="1">
        <v>100</v>
      </c>
      <c r="E8" s="12" t="s">
        <v>44</v>
      </c>
      <c r="F8" t="s">
        <v>56</v>
      </c>
    </row>
  </sheetData>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EF0AA-51E5-40D3-80E3-91467D97A0CD}">
  <dimension ref="A1:K18"/>
  <sheetViews>
    <sheetView workbookViewId="0">
      <selection activeCell="E22" sqref="E22"/>
    </sheetView>
  </sheetViews>
  <sheetFormatPr defaultRowHeight="13.15"/>
  <cols>
    <col min="1" max="1" width="18.42578125" bestFit="1" customWidth="1"/>
    <col min="2" max="2" width="6.42578125" customWidth="1"/>
    <col min="3" max="3" width="13.28515625" customWidth="1"/>
    <col min="4" max="4" width="15.85546875" customWidth="1"/>
    <col min="5" max="5" width="19.28515625" customWidth="1"/>
    <col min="6" max="6" width="12.7109375" customWidth="1"/>
    <col min="7" max="7" width="17.5703125" customWidth="1"/>
    <col min="8" max="8" width="15.7109375" bestFit="1" customWidth="1"/>
    <col min="9" max="9" width="12.28515625" bestFit="1" customWidth="1"/>
    <col min="10" max="10" width="12" bestFit="1" customWidth="1"/>
    <col min="11" max="11" width="17.7109375" bestFit="1" customWidth="1"/>
  </cols>
  <sheetData>
    <row r="1" spans="1:11">
      <c r="A1" s="2" t="s">
        <v>0</v>
      </c>
      <c r="B1" s="13" t="s">
        <v>45</v>
      </c>
      <c r="C1" s="13" t="s">
        <v>46</v>
      </c>
      <c r="D1" s="13" t="s">
        <v>47</v>
      </c>
      <c r="E1" s="14" t="s">
        <v>48</v>
      </c>
      <c r="F1" s="14" t="s">
        <v>49</v>
      </c>
      <c r="G1" s="2" t="s">
        <v>57</v>
      </c>
      <c r="H1" s="3" t="s">
        <v>58</v>
      </c>
      <c r="I1" s="3" t="s">
        <v>59</v>
      </c>
      <c r="J1" s="3" t="s">
        <v>60</v>
      </c>
      <c r="K1" s="3" t="s">
        <v>61</v>
      </c>
    </row>
    <row r="2" spans="1:11">
      <c r="A2" t="s">
        <v>9</v>
      </c>
      <c r="B2" s="1">
        <v>2</v>
      </c>
      <c r="C2" s="1">
        <f>VLOOKUP($B2,Categories[],MATCH(C$1,Categories[#Headers],0),0)</f>
        <v>2</v>
      </c>
      <c r="D2" s="1">
        <f>VLOOKUP($B2,Categories[],MATCH(D$1,Categories[#Headers],0),0)</f>
        <v>20</v>
      </c>
      <c r="E2" s="1">
        <f>VLOOKUP($B2,Categories[],MATCH(E$1,Categories[#Headers],0),0)</f>
        <v>60</v>
      </c>
      <c r="F2" s="1">
        <f>VLOOKUP($B2,Categories[],MATCH(F$1,Categories[#Headers],0),0)</f>
        <v>50</v>
      </c>
      <c r="G2" s="11" t="s">
        <v>44</v>
      </c>
      <c r="H2" s="1" t="s">
        <v>62</v>
      </c>
      <c r="I2" s="1">
        <f t="shared" ref="I2:I15" si="0">100-E2</f>
        <v>40</v>
      </c>
      <c r="J2" s="1">
        <f>((E2*Products!D2/Products!H2)+(I2*Products!D6/Products!H6))/100</f>
        <v>0.32</v>
      </c>
      <c r="K2" s="1">
        <v>1</v>
      </c>
    </row>
    <row r="3" spans="1:11">
      <c r="A3" t="s">
        <v>12</v>
      </c>
      <c r="B3" s="1">
        <v>4</v>
      </c>
      <c r="C3" s="1">
        <f>VLOOKUP($B3,Categories[],MATCH(C$1,Categories[#Headers],0),0)</f>
        <v>4</v>
      </c>
      <c r="D3" s="1">
        <f>VLOOKUP($B3,Categories[],MATCH(D$1,Categories[#Headers],0),0)</f>
        <v>300</v>
      </c>
      <c r="E3" s="1">
        <f>VLOOKUP($B3,Categories[],MATCH(E$1,Categories[#Headers],0),0)</f>
        <v>70</v>
      </c>
      <c r="F3" s="1">
        <f>VLOOKUP($B3,Categories[],MATCH(F$1,Categories[#Headers],0),0)</f>
        <v>20</v>
      </c>
      <c r="G3" s="11" t="s">
        <v>44</v>
      </c>
      <c r="H3" s="1" t="s">
        <v>62</v>
      </c>
      <c r="I3" s="1">
        <f t="shared" si="0"/>
        <v>30</v>
      </c>
      <c r="J3" s="1">
        <f>((E3*Products!D3/Products!H3)+(I3*Products!D6/Products!H6))/100</f>
        <v>0.32500000000000001</v>
      </c>
      <c r="K3" s="1">
        <v>1</v>
      </c>
    </row>
    <row r="4" spans="1:11">
      <c r="A4" t="s">
        <v>14</v>
      </c>
      <c r="B4" s="1">
        <v>3</v>
      </c>
      <c r="C4" s="1">
        <f>VLOOKUP($B4,Categories[],MATCH(C$1,Categories[#Headers],0),0)</f>
        <v>2.5</v>
      </c>
      <c r="D4" s="1">
        <f>VLOOKUP($B4,Categories[],MATCH(D$1,Categories[#Headers],0),0)</f>
        <v>200</v>
      </c>
      <c r="E4" s="1">
        <f>VLOOKUP($B4,Categories[],MATCH(E$1,Categories[#Headers],0),0)</f>
        <v>50</v>
      </c>
      <c r="F4" s="1">
        <f>VLOOKUP($B4,Categories[],MATCH(F$1,Categories[#Headers],0),0)</f>
        <v>50</v>
      </c>
      <c r="G4" s="11" t="s">
        <v>44</v>
      </c>
      <c r="H4" s="1" t="s">
        <v>62</v>
      </c>
      <c r="I4" s="1">
        <f t="shared" si="0"/>
        <v>50</v>
      </c>
      <c r="J4" s="1">
        <f>((E4*Products!D4/Products!H4)+(I4*Products!D6/Products!H6))/100</f>
        <v>0.33333333333333337</v>
      </c>
      <c r="K4" s="1">
        <v>1</v>
      </c>
    </row>
    <row r="5" spans="1:11">
      <c r="A5" t="s">
        <v>16</v>
      </c>
      <c r="B5" s="1">
        <v>2</v>
      </c>
      <c r="C5" s="1">
        <f>VLOOKUP($B5,Categories[],MATCH(C$1,Categories[#Headers],0),0)</f>
        <v>2</v>
      </c>
      <c r="D5" s="1">
        <f>VLOOKUP($B5,Categories[],MATCH(D$1,Categories[#Headers],0),0)</f>
        <v>20</v>
      </c>
      <c r="E5" s="1">
        <f>VLOOKUP($B5,Categories[],MATCH(E$1,Categories[#Headers],0),0)</f>
        <v>60</v>
      </c>
      <c r="F5" s="1">
        <f>VLOOKUP($B5,Categories[],MATCH(F$1,Categories[#Headers],0),0)</f>
        <v>50</v>
      </c>
      <c r="G5" s="11" t="s">
        <v>44</v>
      </c>
      <c r="H5" s="1" t="s">
        <v>62</v>
      </c>
      <c r="I5" s="1">
        <f t="shared" si="0"/>
        <v>40</v>
      </c>
      <c r="J5" s="1">
        <f>((E5*Products!D5/Products!H5)+(I5*Products!D6/Products!H6))/100</f>
        <v>0.32</v>
      </c>
      <c r="K5" s="1">
        <v>1</v>
      </c>
    </row>
    <row r="6" spans="1:11">
      <c r="A6" t="s">
        <v>18</v>
      </c>
      <c r="B6" s="1">
        <v>4</v>
      </c>
      <c r="C6" s="1">
        <f>VLOOKUP($B6,Categories[],MATCH(C$1,Categories[#Headers],0),0)</f>
        <v>4</v>
      </c>
      <c r="D6" s="1">
        <f>VLOOKUP($B6,Categories[],MATCH(D$1,Categories[#Headers],0),0)</f>
        <v>300</v>
      </c>
      <c r="E6" s="1">
        <f>VLOOKUP($B6,Categories[],MATCH(E$1,Categories[#Headers],0),0)</f>
        <v>70</v>
      </c>
      <c r="F6" s="1">
        <f>VLOOKUP($B6,Categories[],MATCH(F$1,Categories[#Headers],0),0)</f>
        <v>20</v>
      </c>
      <c r="G6" s="11" t="s">
        <v>44</v>
      </c>
      <c r="H6" s="1" t="s">
        <v>29</v>
      </c>
      <c r="I6" s="1">
        <f t="shared" si="0"/>
        <v>30</v>
      </c>
      <c r="J6" s="1">
        <f>((E6*Products!D6/Products!H6)+(I6*Products!D11/Products!H11))/100</f>
        <v>0.5</v>
      </c>
      <c r="K6" s="1">
        <v>1</v>
      </c>
    </row>
    <row r="7" spans="1:11">
      <c r="A7" t="s">
        <v>20</v>
      </c>
      <c r="B7" s="1">
        <v>1</v>
      </c>
      <c r="C7" s="1">
        <f>VLOOKUP($B7,Categories[],MATCH(C$1,Categories[#Headers],0),0)</f>
        <v>4</v>
      </c>
      <c r="D7" s="1">
        <f>VLOOKUP($B7,Categories[],MATCH(D$1,Categories[#Headers],0),0)</f>
        <v>20</v>
      </c>
      <c r="E7" s="1">
        <f>VLOOKUP($B7,Categories[],MATCH(E$1,Categories[#Headers],0),0)</f>
        <v>5</v>
      </c>
      <c r="F7" s="1">
        <f>VLOOKUP($B7,Categories[],MATCH(F$1,Categories[#Headers],0),0)</f>
        <v>50</v>
      </c>
      <c r="G7" s="11" t="s">
        <v>44</v>
      </c>
      <c r="H7" s="1" t="s">
        <v>62</v>
      </c>
      <c r="I7" s="1">
        <f t="shared" si="0"/>
        <v>95</v>
      </c>
      <c r="J7" s="1">
        <f>((E7*Products!D7/Products!H7)+(I7*Products!D6/Products!H6))/100</f>
        <v>0.48749999999999999</v>
      </c>
      <c r="K7" s="1">
        <v>1</v>
      </c>
    </row>
    <row r="8" spans="1:11">
      <c r="A8" t="s">
        <v>22</v>
      </c>
      <c r="B8" s="1">
        <v>3</v>
      </c>
      <c r="C8" s="1">
        <f>VLOOKUP($B8,Categories[],MATCH(C$1,Categories[#Headers],0),0)</f>
        <v>2.5</v>
      </c>
      <c r="D8" s="1">
        <f>VLOOKUP($B8,Categories[],MATCH(D$1,Categories[#Headers],0),0)</f>
        <v>200</v>
      </c>
      <c r="E8" s="1">
        <f>VLOOKUP($B8,Categories[],MATCH(E$1,Categories[#Headers],0),0)</f>
        <v>50</v>
      </c>
      <c r="F8" s="1">
        <f>VLOOKUP($B8,Categories[],MATCH(F$1,Categories[#Headers],0),0)</f>
        <v>50</v>
      </c>
      <c r="G8" s="11" t="s">
        <v>44</v>
      </c>
      <c r="H8" s="1" t="s">
        <v>62</v>
      </c>
      <c r="I8" s="1">
        <f t="shared" si="0"/>
        <v>50</v>
      </c>
      <c r="J8" s="1">
        <f>((E8*Products!D9/Products!H9)+(I8*Products!D6/Products!H6))/100</f>
        <v>0.3125</v>
      </c>
      <c r="K8" s="1">
        <v>1</v>
      </c>
    </row>
    <row r="9" spans="1:11">
      <c r="A9" t="s">
        <v>28</v>
      </c>
      <c r="B9" s="1">
        <v>4</v>
      </c>
      <c r="C9" s="1">
        <f>VLOOKUP($B9,Categories[],MATCH(C$1,Categories[#Headers],0),0)</f>
        <v>4</v>
      </c>
      <c r="D9" s="1">
        <f>VLOOKUP($B9,Categories[],MATCH(D$1,Categories[#Headers],0),0)</f>
        <v>300</v>
      </c>
      <c r="E9" s="1">
        <f>VLOOKUP($B9,Categories[],MATCH(E$1,Categories[#Headers],0),0)</f>
        <v>70</v>
      </c>
      <c r="F9" s="1">
        <f>VLOOKUP($B9,Categories[],MATCH(F$1,Categories[#Headers],0),0)</f>
        <v>20</v>
      </c>
      <c r="G9" s="11" t="s">
        <v>44</v>
      </c>
      <c r="H9" s="1" t="s">
        <v>18</v>
      </c>
      <c r="I9" s="1">
        <f t="shared" si="0"/>
        <v>30</v>
      </c>
      <c r="J9" s="1">
        <f>((E9*Products!$D$11/Products!$H$11)+(I9*Products!$D$6/Products!$H$6))/100</f>
        <v>0.5</v>
      </c>
      <c r="K9" s="1">
        <v>1</v>
      </c>
    </row>
    <row r="10" spans="1:11">
      <c r="A10" t="s">
        <v>32</v>
      </c>
      <c r="B10" s="1">
        <v>4</v>
      </c>
      <c r="C10" s="1">
        <f>VLOOKUP($B10,Categories[],MATCH(C$1,Categories[#Headers],0),0)</f>
        <v>4</v>
      </c>
      <c r="D10" s="1">
        <f>VLOOKUP($B10,Categories[],MATCH(D$1,Categories[#Headers],0),0)</f>
        <v>300</v>
      </c>
      <c r="E10" s="15">
        <f>100*(1/1.5)</f>
        <v>66.666666666666657</v>
      </c>
      <c r="F10" s="1">
        <f>VLOOKUP($B10,Categories[],MATCH(F$1,Categories[#Headers],0),0)</f>
        <v>20</v>
      </c>
      <c r="G10" s="11" t="s">
        <v>44</v>
      </c>
      <c r="H10" s="1" t="s">
        <v>30</v>
      </c>
      <c r="I10" s="1">
        <f t="shared" si="0"/>
        <v>33.333333333333343</v>
      </c>
      <c r="J10" s="1">
        <f>((E10*Products!$D$11/Products!$H$11)+(I10*Products!$D$12/Products!$H$12))/100</f>
        <v>0.33333333333333326</v>
      </c>
      <c r="K10" s="1">
        <v>1</v>
      </c>
    </row>
    <row r="11" spans="1:11">
      <c r="A11" t="s">
        <v>34</v>
      </c>
      <c r="B11" s="1">
        <v>4</v>
      </c>
      <c r="C11" s="1">
        <f>VLOOKUP($B11,Categories[],MATCH(C$1,Categories[#Headers],0),0)</f>
        <v>4</v>
      </c>
      <c r="D11" s="1">
        <f>VLOOKUP($B11,Categories[],MATCH(D$1,Categories[#Headers],0),0)</f>
        <v>300</v>
      </c>
      <c r="E11" s="16">
        <f>100*(1/2)</f>
        <v>50</v>
      </c>
      <c r="F11" s="1">
        <f>VLOOKUP($B11,Categories[],MATCH(F$1,Categories[#Headers],0),0)</f>
        <v>20</v>
      </c>
      <c r="G11" s="11" t="s">
        <v>44</v>
      </c>
      <c r="H11" s="1" t="s">
        <v>30</v>
      </c>
      <c r="I11" s="1">
        <f t="shared" si="0"/>
        <v>50</v>
      </c>
      <c r="J11" s="1">
        <f>((E11*Products!$D$11/Products!$H$11)+(I11*Products!$D$12/Products!$H$12))/100</f>
        <v>0.25</v>
      </c>
      <c r="K11" s="1">
        <v>1</v>
      </c>
    </row>
    <row r="12" spans="1:11">
      <c r="A12" t="s">
        <v>35</v>
      </c>
      <c r="B12" s="1">
        <v>4</v>
      </c>
      <c r="C12" s="1">
        <f>VLOOKUP($B12,Categories[],MATCH(C$1,Categories[#Headers],0),0)</f>
        <v>4</v>
      </c>
      <c r="D12" s="1">
        <f>VLOOKUP($B12,Categories[],MATCH(D$1,Categories[#Headers],0),0)</f>
        <v>300</v>
      </c>
      <c r="E12" s="15">
        <f>100*(1/3)</f>
        <v>33.333333333333329</v>
      </c>
      <c r="F12" s="1">
        <f>VLOOKUP($B12,Categories[],MATCH(F$1,Categories[#Headers],0),0)</f>
        <v>20</v>
      </c>
      <c r="G12" s="11" t="s">
        <v>44</v>
      </c>
      <c r="H12" s="1" t="s">
        <v>30</v>
      </c>
      <c r="I12" s="1">
        <f t="shared" si="0"/>
        <v>66.666666666666671</v>
      </c>
      <c r="J12" s="1">
        <f>((E12*Products!$D$11/Products!$H$11)+(I12*Products!$D$12/Products!$H$12))/100</f>
        <v>0.16666666666666663</v>
      </c>
      <c r="K12" s="1">
        <v>1</v>
      </c>
    </row>
    <row r="13" spans="1:11">
      <c r="A13" t="s">
        <v>36</v>
      </c>
      <c r="B13" s="1">
        <v>4</v>
      </c>
      <c r="C13" s="1">
        <f>VLOOKUP($B13,Categories[],MATCH(C$1,Categories[#Headers],0),0)</f>
        <v>4</v>
      </c>
      <c r="D13" s="1">
        <f>VLOOKUP($B13,Categories[],MATCH(D$1,Categories[#Headers],0),0)</f>
        <v>300</v>
      </c>
      <c r="E13" s="15">
        <f>100*(1/1.5)</f>
        <v>66.666666666666657</v>
      </c>
      <c r="F13" s="1">
        <f>VLOOKUP($B13,Categories[],MATCH(F$1,Categories[#Headers],0),0)</f>
        <v>20</v>
      </c>
      <c r="G13" s="11" t="s">
        <v>44</v>
      </c>
      <c r="H13" s="1" t="s">
        <v>30</v>
      </c>
      <c r="I13" s="1">
        <f t="shared" si="0"/>
        <v>33.333333333333343</v>
      </c>
      <c r="J13" s="1">
        <f>((E13*Products!$D$6/Products!$H$6)+(I13*Products!$D$12/Products!$H$12))/100</f>
        <v>0.33333333333333326</v>
      </c>
      <c r="K13" s="1">
        <v>1</v>
      </c>
    </row>
    <row r="14" spans="1:11">
      <c r="A14" t="s">
        <v>37</v>
      </c>
      <c r="B14" s="1">
        <v>4</v>
      </c>
      <c r="C14" s="1">
        <f>VLOOKUP($B14,Categories[],MATCH(C$1,Categories[#Headers],0),0)</f>
        <v>4</v>
      </c>
      <c r="D14" s="1">
        <f>VLOOKUP($B14,Categories[],MATCH(D$1,Categories[#Headers],0),0)</f>
        <v>300</v>
      </c>
      <c r="E14" s="16">
        <f>100*(1/2)</f>
        <v>50</v>
      </c>
      <c r="F14" s="1">
        <f>VLOOKUP($B14,Categories[],MATCH(F$1,Categories[#Headers],0),0)</f>
        <v>20</v>
      </c>
      <c r="G14" s="11" t="s">
        <v>44</v>
      </c>
      <c r="H14" s="1" t="s">
        <v>30</v>
      </c>
      <c r="I14" s="1">
        <f t="shared" si="0"/>
        <v>50</v>
      </c>
      <c r="J14" s="1">
        <f>((E14*Products!$D$6/Products!$H$6)+(I14*Products!$D$12/Products!$H$12))/100</f>
        <v>0.25</v>
      </c>
      <c r="K14" s="1">
        <v>1</v>
      </c>
    </row>
    <row r="15" spans="1:11">
      <c r="A15" t="s">
        <v>38</v>
      </c>
      <c r="B15" s="1">
        <v>4</v>
      </c>
      <c r="C15" s="1">
        <f>VLOOKUP($B15,Categories[],MATCH(C$1,Categories[#Headers],0),0)</f>
        <v>4</v>
      </c>
      <c r="D15" s="1">
        <f>VLOOKUP($B15,Categories[],MATCH(D$1,Categories[#Headers],0),0)</f>
        <v>300</v>
      </c>
      <c r="E15" s="15">
        <f>100*(1/3)</f>
        <v>33.333333333333329</v>
      </c>
      <c r="F15" s="1">
        <f>VLOOKUP($B15,Categories[],MATCH(F$1,Categories[#Headers],0),0)</f>
        <v>20</v>
      </c>
      <c r="G15" s="11" t="s">
        <v>44</v>
      </c>
      <c r="H15" s="1" t="s">
        <v>30</v>
      </c>
      <c r="I15" s="1">
        <f t="shared" si="0"/>
        <v>66.666666666666671</v>
      </c>
      <c r="J15" s="1">
        <f>((E15*Products!$D$6/Products!$H$6)+(I15*Products!$D$12/Products!$H$12))/100</f>
        <v>0.16666666666666663</v>
      </c>
      <c r="K15" s="1">
        <v>1</v>
      </c>
    </row>
    <row r="16" spans="1:11">
      <c r="A16" t="s">
        <v>39</v>
      </c>
      <c r="B16" s="1">
        <v>6</v>
      </c>
      <c r="C16" s="1">
        <f>VLOOKUP($B16,Categories[],MATCH(C$1,Categories[#Headers],0),0)</f>
        <v>3</v>
      </c>
      <c r="D16" s="1">
        <f>VLOOKUP($B16,Categories[],MATCH(D$1,Categories[#Headers],0),0)</f>
        <v>300</v>
      </c>
      <c r="E16" s="1">
        <f>VLOOKUP($B16,Categories[],MATCH(E$1,Categories[#Headers],0),0)</f>
        <v>100</v>
      </c>
      <c r="F16" s="1" t="str">
        <f>VLOOKUP($B16,Categories[],MATCH(F$1,Categories[#Headers],0),0)</f>
        <v>N/A</v>
      </c>
      <c r="G16" s="11" t="s">
        <v>44</v>
      </c>
      <c r="H16" s="11" t="s">
        <v>44</v>
      </c>
      <c r="I16" s="11" t="s">
        <v>44</v>
      </c>
      <c r="J16" s="1" t="s">
        <v>44</v>
      </c>
      <c r="K16" s="1">
        <v>1</v>
      </c>
    </row>
    <row r="17" spans="1:11">
      <c r="A17" t="s">
        <v>42</v>
      </c>
      <c r="B17" s="1">
        <v>6</v>
      </c>
      <c r="C17" s="1">
        <f>VLOOKUP($B17,Categories[],MATCH(C$1,Categories[#Headers],0),0)</f>
        <v>3</v>
      </c>
      <c r="D17" s="1">
        <f>VLOOKUP($B17,Categories[],MATCH(D$1,Categories[#Headers],0),0)</f>
        <v>300</v>
      </c>
      <c r="E17" s="1">
        <f>VLOOKUP($B17,Categories[],MATCH(E$1,Categories[#Headers],0),0)</f>
        <v>100</v>
      </c>
      <c r="F17" s="1" t="str">
        <f>VLOOKUP($B17,Categories[],MATCH(F$1,Categories[#Headers],0),0)</f>
        <v>N/A</v>
      </c>
      <c r="G17" s="11" t="s">
        <v>44</v>
      </c>
      <c r="H17" s="11" t="s">
        <v>44</v>
      </c>
      <c r="I17" s="11" t="s">
        <v>44</v>
      </c>
      <c r="J17" s="1" t="s">
        <v>44</v>
      </c>
      <c r="K17" s="1">
        <v>1</v>
      </c>
    </row>
    <row r="18" spans="1:11">
      <c r="A18" t="s">
        <v>43</v>
      </c>
      <c r="B18" s="1">
        <v>6</v>
      </c>
      <c r="C18" s="1">
        <f>VLOOKUP($B18,Categories[],MATCH(C$1,Categories[#Headers],0),0)</f>
        <v>3</v>
      </c>
      <c r="D18" s="1">
        <f>VLOOKUP($B18,Categories[],MATCH(D$1,Categories[#Headers],0),0)</f>
        <v>300</v>
      </c>
      <c r="E18" s="1">
        <f>VLOOKUP($B18,Categories[],MATCH(E$1,Categories[#Headers],0),0)</f>
        <v>100</v>
      </c>
      <c r="F18" s="1" t="str">
        <f>VLOOKUP($B18,Categories[],MATCH(F$1,Categories[#Headers],0),0)</f>
        <v>N/A</v>
      </c>
      <c r="G18" s="11" t="s">
        <v>44</v>
      </c>
      <c r="H18" s="11" t="s">
        <v>44</v>
      </c>
      <c r="I18" s="11" t="s">
        <v>44</v>
      </c>
      <c r="J18" s="1" t="s">
        <v>44</v>
      </c>
      <c r="K18" s="1">
        <v>1</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C7EE-4E44-45B8-AB3E-8ED5D8140AA5}">
  <dimension ref="A1:K18"/>
  <sheetViews>
    <sheetView tabSelected="1" workbookViewId="0">
      <selection activeCell="C29" sqref="C29"/>
    </sheetView>
  </sheetViews>
  <sheetFormatPr defaultRowHeight="13.15"/>
  <cols>
    <col min="1" max="1" width="18.42578125" bestFit="1" customWidth="1"/>
    <col min="2" max="2" width="6.7109375" bestFit="1" customWidth="1"/>
    <col min="3" max="3" width="13.42578125" bestFit="1" customWidth="1"/>
    <col min="4" max="4" width="16.7109375" bestFit="1" customWidth="1"/>
    <col min="5" max="5" width="21.85546875" bestFit="1" customWidth="1"/>
    <col min="6" max="6" width="15.42578125" bestFit="1" customWidth="1"/>
    <col min="7" max="7" width="17.5703125" customWidth="1"/>
    <col min="8" max="8" width="13.7109375" bestFit="1" customWidth="1"/>
    <col min="9" max="9" width="9.5703125" customWidth="1"/>
    <col min="11" max="11" width="15.140625" customWidth="1"/>
  </cols>
  <sheetData>
    <row r="1" spans="1:11">
      <c r="A1" s="3" t="s">
        <v>0</v>
      </c>
      <c r="B1" s="14" t="s">
        <v>45</v>
      </c>
      <c r="C1" s="14" t="s">
        <v>46</v>
      </c>
      <c r="D1" s="14" t="s">
        <v>47</v>
      </c>
      <c r="E1" s="14" t="s">
        <v>48</v>
      </c>
      <c r="F1" s="14" t="s">
        <v>49</v>
      </c>
      <c r="G1" s="3" t="s">
        <v>57</v>
      </c>
      <c r="H1" s="3" t="s">
        <v>58</v>
      </c>
      <c r="I1" s="3" t="s">
        <v>59</v>
      </c>
      <c r="J1" s="3" t="s">
        <v>60</v>
      </c>
      <c r="K1" s="3" t="s">
        <v>61</v>
      </c>
    </row>
    <row r="2" spans="1:11">
      <c r="A2" t="s">
        <v>9</v>
      </c>
      <c r="B2" s="1">
        <v>5</v>
      </c>
      <c r="C2" s="1">
        <f>VLOOKUP($B2,Categories[],MATCH(C$1,Categories[#Headers],0),0)</f>
        <v>2</v>
      </c>
      <c r="D2" s="1">
        <f>VLOOKUP($B2,Categories[],MATCH(D$1,Categories[#Headers],0),0)</f>
        <v>500</v>
      </c>
      <c r="E2" s="1">
        <f>VLOOKUP($B2,Categories[],MATCH(E$1,Categories[#Headers],0),0)</f>
        <v>90</v>
      </c>
      <c r="F2" s="1">
        <f>VLOOKUP($B2,Categories[],MATCH(F$1,Categories[#Headers],0),0)</f>
        <v>60</v>
      </c>
      <c r="G2" s="11" t="s">
        <v>44</v>
      </c>
      <c r="H2" s="1" t="s">
        <v>62</v>
      </c>
      <c r="I2" s="1">
        <f t="shared" ref="I2:I15" si="0">100-E2</f>
        <v>10</v>
      </c>
      <c r="J2" s="1">
        <f>((E2*Products!D2/Products!H2)+(I2*Products!D6/Products!H6))/100</f>
        <v>0.23</v>
      </c>
      <c r="K2" s="1">
        <v>1</v>
      </c>
    </row>
    <row r="3" spans="1:11">
      <c r="A3" t="s">
        <v>12</v>
      </c>
      <c r="B3" s="1">
        <v>5</v>
      </c>
      <c r="C3" s="1">
        <f>VLOOKUP($B3,Categories[],MATCH(C$1,Categories[#Headers],0),0)</f>
        <v>2</v>
      </c>
      <c r="D3" s="1">
        <f>VLOOKUP($B3,Categories[],MATCH(D$1,Categories[#Headers],0),0)</f>
        <v>500</v>
      </c>
      <c r="E3" s="1">
        <f>VLOOKUP($B3,Categories[],MATCH(E$1,Categories[#Headers],0),0)</f>
        <v>90</v>
      </c>
      <c r="F3" s="1">
        <f>VLOOKUP($B3,Categories[],MATCH(F$1,Categories[#Headers],0),0)</f>
        <v>60</v>
      </c>
      <c r="G3" s="11" t="s">
        <v>44</v>
      </c>
      <c r="H3" s="1" t="s">
        <v>62</v>
      </c>
      <c r="I3" s="1">
        <f t="shared" si="0"/>
        <v>10</v>
      </c>
      <c r="J3" s="1">
        <f>((E3*Products!D3/Products!H3)+(I3*Products!D6/Products!H6))/100</f>
        <v>0.27500000000000002</v>
      </c>
      <c r="K3" s="1">
        <v>1</v>
      </c>
    </row>
    <row r="4" spans="1:11">
      <c r="A4" t="s">
        <v>14</v>
      </c>
      <c r="B4" s="1">
        <v>5</v>
      </c>
      <c r="C4" s="1">
        <f>VLOOKUP($B4,Categories[],MATCH(C$1,Categories[#Headers],0),0)</f>
        <v>2</v>
      </c>
      <c r="D4" s="1">
        <f>VLOOKUP($B4,Categories[],MATCH(D$1,Categories[#Headers],0),0)</f>
        <v>500</v>
      </c>
      <c r="E4" s="1">
        <f>VLOOKUP($B4,Categories[],MATCH(E$1,Categories[#Headers],0),0)</f>
        <v>90</v>
      </c>
      <c r="F4" s="1">
        <f>VLOOKUP($B4,Categories[],MATCH(F$1,Categories[#Headers],0),0)</f>
        <v>60</v>
      </c>
      <c r="G4" s="11" t="s">
        <v>44</v>
      </c>
      <c r="H4" s="1" t="s">
        <v>62</v>
      </c>
      <c r="I4" s="1">
        <f t="shared" si="0"/>
        <v>10</v>
      </c>
      <c r="J4" s="1">
        <f>((E4*Products!D4/Products!H4)+(I4*Products!D6/Products!H6))/100</f>
        <v>0.2</v>
      </c>
      <c r="K4" s="1">
        <v>1</v>
      </c>
    </row>
    <row r="5" spans="1:11">
      <c r="A5" t="s">
        <v>16</v>
      </c>
      <c r="B5" s="1">
        <v>5</v>
      </c>
      <c r="C5" s="1">
        <f>VLOOKUP($B5,Categories[],MATCH(C$1,Categories[#Headers],0),0)</f>
        <v>2</v>
      </c>
      <c r="D5" s="1">
        <f>VLOOKUP($B5,Categories[],MATCH(D$1,Categories[#Headers],0),0)</f>
        <v>500</v>
      </c>
      <c r="E5" s="1">
        <f>VLOOKUP($B5,Categories[],MATCH(E$1,Categories[#Headers],0),0)</f>
        <v>90</v>
      </c>
      <c r="F5" s="1">
        <f>VLOOKUP($B5,Categories[],MATCH(F$1,Categories[#Headers],0),0)</f>
        <v>60</v>
      </c>
      <c r="G5" s="11" t="s">
        <v>44</v>
      </c>
      <c r="H5" s="1" t="s">
        <v>62</v>
      </c>
      <c r="I5" s="1">
        <f t="shared" si="0"/>
        <v>10</v>
      </c>
      <c r="J5" s="1">
        <f>((E5*Products!D5/Products!H5)+(I5*Products!D6/Products!H6))/100</f>
        <v>0.23</v>
      </c>
      <c r="K5" s="1">
        <v>1</v>
      </c>
    </row>
    <row r="6" spans="1:11">
      <c r="A6" t="s">
        <v>18</v>
      </c>
      <c r="B6" s="1">
        <v>5</v>
      </c>
      <c r="C6" s="1">
        <f>VLOOKUP($B6,Categories[],MATCH(C$1,Categories[#Headers],0),0)</f>
        <v>2</v>
      </c>
      <c r="D6" s="1">
        <f>VLOOKUP($B6,Categories[],MATCH(D$1,Categories[#Headers],0),0)</f>
        <v>500</v>
      </c>
      <c r="E6" s="1">
        <f>VLOOKUP($B6,Categories[],MATCH(E$1,Categories[#Headers],0),0)</f>
        <v>90</v>
      </c>
      <c r="F6" s="1">
        <f>VLOOKUP($B6,Categories[],MATCH(F$1,Categories[#Headers],0),0)</f>
        <v>60</v>
      </c>
      <c r="G6" s="11" t="s">
        <v>44</v>
      </c>
      <c r="H6" s="1" t="s">
        <v>29</v>
      </c>
      <c r="I6" s="1">
        <f t="shared" si="0"/>
        <v>10</v>
      </c>
      <c r="J6" s="1">
        <f>((E6*Products!D6/Products!H6)+(I6*Products!D11/Products!H11))/100</f>
        <v>0.5</v>
      </c>
      <c r="K6" s="1">
        <v>1</v>
      </c>
    </row>
    <row r="7" spans="1:11">
      <c r="A7" t="s">
        <v>20</v>
      </c>
      <c r="B7" s="1">
        <v>5</v>
      </c>
      <c r="C7" s="1">
        <f>VLOOKUP($B7,Categories[],MATCH(C$1,Categories[#Headers],0),0)</f>
        <v>2</v>
      </c>
      <c r="D7" s="1">
        <f>VLOOKUP($B7,Categories[],MATCH(D$1,Categories[#Headers],0),0)</f>
        <v>500</v>
      </c>
      <c r="E7" s="1">
        <f>VLOOKUP($B7,Categories[],MATCH(E$1,Categories[#Headers],0),0)</f>
        <v>90</v>
      </c>
      <c r="F7" s="1">
        <f>VLOOKUP($B7,Categories[],MATCH(F$1,Categories[#Headers],0),0)</f>
        <v>60</v>
      </c>
      <c r="G7" s="11" t="s">
        <v>44</v>
      </c>
      <c r="H7" s="1" t="s">
        <v>62</v>
      </c>
      <c r="I7" s="1">
        <f t="shared" si="0"/>
        <v>10</v>
      </c>
      <c r="J7" s="1">
        <f>((E7*Products!D7/Products!H7)+(I7*Products!D6/Products!H6))/100</f>
        <v>0.27500000000000002</v>
      </c>
      <c r="K7" s="1">
        <v>1</v>
      </c>
    </row>
    <row r="8" spans="1:11">
      <c r="A8" t="s">
        <v>22</v>
      </c>
      <c r="B8" s="1">
        <v>5</v>
      </c>
      <c r="C8" s="1">
        <f>VLOOKUP($B8,Categories[],MATCH(C$1,Categories[#Headers],0),0)</f>
        <v>2</v>
      </c>
      <c r="D8" s="1">
        <f>VLOOKUP($B8,Categories[],MATCH(D$1,Categories[#Headers],0),0)</f>
        <v>500</v>
      </c>
      <c r="E8" s="1">
        <f>VLOOKUP($B8,Categories[],MATCH(E$1,Categories[#Headers],0),0)</f>
        <v>90</v>
      </c>
      <c r="F8" s="1">
        <f>VLOOKUP($B8,Categories[],MATCH(F$1,Categories[#Headers],0),0)</f>
        <v>60</v>
      </c>
      <c r="G8" s="11" t="s">
        <v>44</v>
      </c>
      <c r="H8" s="1" t="s">
        <v>62</v>
      </c>
      <c r="I8" s="1">
        <f t="shared" si="0"/>
        <v>10</v>
      </c>
      <c r="J8" s="1">
        <f>((E8*Products!D9/Products!H9)+(I8*Products!D6/Products!H6))/100</f>
        <v>0.16250000000000001</v>
      </c>
      <c r="K8" s="1">
        <v>1</v>
      </c>
    </row>
    <row r="9" spans="1:11">
      <c r="A9" t="s">
        <v>28</v>
      </c>
      <c r="B9" s="1">
        <v>5</v>
      </c>
      <c r="C9" s="1">
        <f>VLOOKUP($B9,Categories[],MATCH(C$1,Categories[#Headers],0),0)</f>
        <v>2</v>
      </c>
      <c r="D9" s="1">
        <f>VLOOKUP($B9,Categories[],MATCH(D$1,Categories[#Headers],0),0)</f>
        <v>500</v>
      </c>
      <c r="E9" s="1">
        <f>VLOOKUP($B9,Categories[],MATCH(E$1,Categories[#Headers],0),0)</f>
        <v>90</v>
      </c>
      <c r="F9" s="1">
        <f>VLOOKUP($B9,Categories[],MATCH(F$1,Categories[#Headers],0),0)</f>
        <v>60</v>
      </c>
      <c r="G9" s="11" t="s">
        <v>44</v>
      </c>
      <c r="H9" s="1" t="s">
        <v>18</v>
      </c>
      <c r="I9" s="1">
        <f t="shared" si="0"/>
        <v>10</v>
      </c>
      <c r="J9" s="1">
        <f>((E9*Products!$D$11/Products!$H$11)+(I9*Products!$D$6/Products!$H$6))/100</f>
        <v>0.5</v>
      </c>
      <c r="K9" s="1">
        <v>1</v>
      </c>
    </row>
    <row r="10" spans="1:11">
      <c r="A10" t="s">
        <v>32</v>
      </c>
      <c r="B10" s="1">
        <v>5</v>
      </c>
      <c r="C10" s="1">
        <f>VLOOKUP($B10,Categories[],MATCH(C$1,Categories[#Headers],0),0)</f>
        <v>2</v>
      </c>
      <c r="D10" s="1">
        <f>VLOOKUP($B10,Categories[],MATCH(D$1,Categories[#Headers],0),0)</f>
        <v>500</v>
      </c>
      <c r="E10" s="15">
        <f>100*(1/1.5)</f>
        <v>66.666666666666657</v>
      </c>
      <c r="F10" s="1">
        <f>VLOOKUP($B10,Categories[],MATCH(F$1,Categories[#Headers],0),0)</f>
        <v>60</v>
      </c>
      <c r="G10" s="11" t="s">
        <v>44</v>
      </c>
      <c r="H10" s="1" t="s">
        <v>30</v>
      </c>
      <c r="I10" s="1">
        <f t="shared" si="0"/>
        <v>33.333333333333343</v>
      </c>
      <c r="J10" s="1">
        <f>((E10*Products!$D$11/Products!$H$11)+(I10*Products!$D$12/Products!$H$12))/100</f>
        <v>0.33333333333333326</v>
      </c>
      <c r="K10" s="1">
        <v>1</v>
      </c>
    </row>
    <row r="11" spans="1:11">
      <c r="A11" t="s">
        <v>34</v>
      </c>
      <c r="B11" s="1">
        <v>5</v>
      </c>
      <c r="C11" s="1">
        <f>VLOOKUP($B11,Categories[],MATCH(C$1,Categories[#Headers],0),0)</f>
        <v>2</v>
      </c>
      <c r="D11" s="1">
        <f>VLOOKUP($B11,Categories[],MATCH(D$1,Categories[#Headers],0),0)</f>
        <v>500</v>
      </c>
      <c r="E11" s="16">
        <f>100*(1/2)</f>
        <v>50</v>
      </c>
      <c r="F11" s="1">
        <f>VLOOKUP($B11,Categories[],MATCH(F$1,Categories[#Headers],0),0)</f>
        <v>60</v>
      </c>
      <c r="G11" s="11" t="s">
        <v>44</v>
      </c>
      <c r="H11" s="1" t="s">
        <v>30</v>
      </c>
      <c r="I11" s="1">
        <f t="shared" si="0"/>
        <v>50</v>
      </c>
      <c r="J11" s="1">
        <f>((E11*Products!$D$11/Products!$H$11)+(I11*Products!$D$12/Products!$H$12))/100</f>
        <v>0.25</v>
      </c>
      <c r="K11" s="1">
        <v>1</v>
      </c>
    </row>
    <row r="12" spans="1:11">
      <c r="A12" t="s">
        <v>35</v>
      </c>
      <c r="B12" s="1">
        <v>5</v>
      </c>
      <c r="C12" s="1">
        <f>VLOOKUP($B12,Categories[],MATCH(C$1,Categories[#Headers],0),0)</f>
        <v>2</v>
      </c>
      <c r="D12" s="1">
        <f>VLOOKUP($B12,Categories[],MATCH(D$1,Categories[#Headers],0),0)</f>
        <v>500</v>
      </c>
      <c r="E12" s="15">
        <f>100*(1/3)</f>
        <v>33.333333333333329</v>
      </c>
      <c r="F12" s="1">
        <f>VLOOKUP($B12,Categories[],MATCH(F$1,Categories[#Headers],0),0)</f>
        <v>60</v>
      </c>
      <c r="G12" s="11" t="s">
        <v>44</v>
      </c>
      <c r="H12" s="1" t="s">
        <v>30</v>
      </c>
      <c r="I12" s="1">
        <f t="shared" si="0"/>
        <v>66.666666666666671</v>
      </c>
      <c r="J12" s="1">
        <f>((E12*Products!$D$11/Products!$H$11)+(I12*Products!$D$12/Products!$H$12))/100</f>
        <v>0.16666666666666663</v>
      </c>
      <c r="K12" s="1">
        <v>1</v>
      </c>
    </row>
    <row r="13" spans="1:11">
      <c r="A13" t="s">
        <v>36</v>
      </c>
      <c r="B13" s="1">
        <v>5</v>
      </c>
      <c r="C13" s="1">
        <f>VLOOKUP($B13,Categories[],MATCH(C$1,Categories[#Headers],0),0)</f>
        <v>2</v>
      </c>
      <c r="D13" s="1">
        <f>VLOOKUP($B13,Categories[],MATCH(D$1,Categories[#Headers],0),0)</f>
        <v>500</v>
      </c>
      <c r="E13" s="15">
        <f>100*(1/1.5)</f>
        <v>66.666666666666657</v>
      </c>
      <c r="F13" s="1">
        <f>VLOOKUP($B13,Categories[],MATCH(F$1,Categories[#Headers],0),0)</f>
        <v>60</v>
      </c>
      <c r="G13" s="11" t="s">
        <v>44</v>
      </c>
      <c r="H13" s="1" t="s">
        <v>30</v>
      </c>
      <c r="I13" s="1">
        <f t="shared" si="0"/>
        <v>33.333333333333343</v>
      </c>
      <c r="J13" s="1">
        <f>((E13*Products!$D$6/Products!$H$6)+(I13*Products!$D$12/Products!$H$12))/100</f>
        <v>0.33333333333333326</v>
      </c>
      <c r="K13" s="1">
        <v>1</v>
      </c>
    </row>
    <row r="14" spans="1:11">
      <c r="A14" t="s">
        <v>37</v>
      </c>
      <c r="B14" s="1">
        <v>5</v>
      </c>
      <c r="C14" s="1">
        <f>VLOOKUP($B14,Categories[],MATCH(C$1,Categories[#Headers],0),0)</f>
        <v>2</v>
      </c>
      <c r="D14" s="1">
        <f>VLOOKUP($B14,Categories[],MATCH(D$1,Categories[#Headers],0),0)</f>
        <v>500</v>
      </c>
      <c r="E14" s="16">
        <f>100*(1/2)</f>
        <v>50</v>
      </c>
      <c r="F14" s="1">
        <f>VLOOKUP($B14,Categories[],MATCH(F$1,Categories[#Headers],0),0)</f>
        <v>60</v>
      </c>
      <c r="G14" s="11" t="s">
        <v>44</v>
      </c>
      <c r="H14" s="1" t="s">
        <v>30</v>
      </c>
      <c r="I14" s="1">
        <f t="shared" si="0"/>
        <v>50</v>
      </c>
      <c r="J14" s="1">
        <f>((E14*Products!$D$6/Products!$H$6)+(I14*Products!$D$12/Products!$H$12))/100</f>
        <v>0.25</v>
      </c>
      <c r="K14" s="1">
        <v>1</v>
      </c>
    </row>
    <row r="15" spans="1:11">
      <c r="A15" t="s">
        <v>38</v>
      </c>
      <c r="B15" s="1">
        <v>5</v>
      </c>
      <c r="C15" s="1">
        <f>VLOOKUP($B15,Categories[],MATCH(C$1,Categories[#Headers],0),0)</f>
        <v>2</v>
      </c>
      <c r="D15" s="1">
        <f>VLOOKUP($B15,Categories[],MATCH(D$1,Categories[#Headers],0),0)</f>
        <v>500</v>
      </c>
      <c r="E15" s="15">
        <f>100*(1/3)</f>
        <v>33.333333333333329</v>
      </c>
      <c r="F15" s="1">
        <f>VLOOKUP($B15,Categories[],MATCH(F$1,Categories[#Headers],0),0)</f>
        <v>60</v>
      </c>
      <c r="G15" s="11" t="s">
        <v>44</v>
      </c>
      <c r="H15" s="1" t="s">
        <v>30</v>
      </c>
      <c r="I15" s="1">
        <f t="shared" si="0"/>
        <v>66.666666666666671</v>
      </c>
      <c r="J15" s="1">
        <f>((E15*Products!$D$6/Products!$H$6)+(I15*Products!$D$12/Products!$H$12))/100</f>
        <v>0.16666666666666663</v>
      </c>
      <c r="K15" s="1">
        <v>1</v>
      </c>
    </row>
    <row r="16" spans="1:11">
      <c r="A16" t="s">
        <v>39</v>
      </c>
      <c r="B16" s="1">
        <v>7</v>
      </c>
      <c r="C16" s="1">
        <f>VLOOKUP($B16,Categories[],MATCH(C$1,Categories[#Headers],0),0)</f>
        <v>2</v>
      </c>
      <c r="D16" s="1">
        <f>VLOOKUP($B16,Categories[],MATCH(D$1,Categories[#Headers],0),0)</f>
        <v>500</v>
      </c>
      <c r="E16" s="1">
        <f>VLOOKUP($B16,Categories[],MATCH(E$1,Categories[#Headers],0),0)</f>
        <v>100</v>
      </c>
      <c r="F16" s="1" t="str">
        <f>VLOOKUP($B16,Categories[],MATCH(F$1,Categories[#Headers],0),0)</f>
        <v>N/A</v>
      </c>
      <c r="G16" s="11" t="s">
        <v>44</v>
      </c>
      <c r="H16" s="11" t="s">
        <v>44</v>
      </c>
      <c r="I16" s="11" t="s">
        <v>44</v>
      </c>
      <c r="J16" s="1" t="s">
        <v>44</v>
      </c>
      <c r="K16" s="1">
        <v>1</v>
      </c>
    </row>
    <row r="17" spans="1:11">
      <c r="A17" t="s">
        <v>42</v>
      </c>
      <c r="B17" s="1">
        <v>7</v>
      </c>
      <c r="C17" s="1">
        <f>VLOOKUP($B17,Categories[],MATCH(C$1,Categories[#Headers],0),0)</f>
        <v>2</v>
      </c>
      <c r="D17" s="1">
        <f>VLOOKUP($B17,Categories[],MATCH(D$1,Categories[#Headers],0),0)</f>
        <v>500</v>
      </c>
      <c r="E17" s="1">
        <f>VLOOKUP($B17,Categories[],MATCH(E$1,Categories[#Headers],0),0)</f>
        <v>100</v>
      </c>
      <c r="F17" s="1" t="str">
        <f>VLOOKUP($B17,Categories[],MATCH(F$1,Categories[#Headers],0),0)</f>
        <v>N/A</v>
      </c>
      <c r="G17" s="11" t="s">
        <v>44</v>
      </c>
      <c r="H17" s="11" t="s">
        <v>44</v>
      </c>
      <c r="I17" s="11" t="s">
        <v>44</v>
      </c>
      <c r="J17" s="1" t="s">
        <v>44</v>
      </c>
      <c r="K17" s="1">
        <v>1</v>
      </c>
    </row>
    <row r="18" spans="1:11">
      <c r="A18" t="s">
        <v>43</v>
      </c>
      <c r="B18" s="1">
        <v>7</v>
      </c>
      <c r="C18" s="1">
        <f>VLOOKUP($B18,Categories[],MATCH(C$1,Categories[#Headers],0),0)</f>
        <v>2</v>
      </c>
      <c r="D18" s="1">
        <f>VLOOKUP($B18,Categories[],MATCH(D$1,Categories[#Headers],0),0)</f>
        <v>500</v>
      </c>
      <c r="E18" s="1">
        <f>VLOOKUP($B18,Categories[],MATCH(E$1,Categories[#Headers],0),0)</f>
        <v>100</v>
      </c>
      <c r="F18" s="1" t="str">
        <f>VLOOKUP($B18,Categories[],MATCH(F$1,Categories[#Headers],0),0)</f>
        <v>N/A</v>
      </c>
      <c r="G18" s="11" t="s">
        <v>44</v>
      </c>
      <c r="H18" s="11" t="s">
        <v>44</v>
      </c>
      <c r="I18" s="11" t="s">
        <v>44</v>
      </c>
      <c r="J18" s="1" t="s">
        <v>44</v>
      </c>
      <c r="K18" s="1">
        <v>1</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zoomScaleNormal="100" workbookViewId="0">
      <selection activeCell="D36" sqref="D36"/>
    </sheetView>
  </sheetViews>
  <sheetFormatPr defaultColWidth="8.7109375" defaultRowHeight="13.15"/>
  <cols>
    <col min="1" max="1" width="27.7109375" customWidth="1"/>
    <col min="2" max="2" width="11.42578125"/>
    <col min="3" max="3" width="14.7109375" customWidth="1"/>
    <col min="4" max="4" width="18.7109375" customWidth="1"/>
    <col min="5" max="5" width="17.7109375" customWidth="1"/>
    <col min="6" max="6" width="36" customWidth="1"/>
    <col min="7" max="8" width="15.42578125" style="1" customWidth="1"/>
    <col min="9" max="9" width="15.42578125" customWidth="1"/>
    <col min="10" max="1025" width="11.42578125"/>
  </cols>
  <sheetData>
    <row r="1" spans="1:10">
      <c r="A1" s="2" t="s">
        <v>0</v>
      </c>
      <c r="B1" s="2" t="s">
        <v>46</v>
      </c>
      <c r="C1" s="2" t="s">
        <v>47</v>
      </c>
      <c r="D1" s="2" t="s">
        <v>48</v>
      </c>
      <c r="E1" s="2" t="s">
        <v>57</v>
      </c>
      <c r="F1" s="2" t="s">
        <v>58</v>
      </c>
      <c r="G1" s="3" t="s">
        <v>59</v>
      </c>
      <c r="H1" s="3" t="s">
        <v>60</v>
      </c>
      <c r="I1" s="3" t="s">
        <v>61</v>
      </c>
      <c r="J1" s="2" t="s">
        <v>63</v>
      </c>
    </row>
    <row r="2" spans="1:10">
      <c r="A2" t="s">
        <v>12</v>
      </c>
      <c r="B2" s="1">
        <v>1.94</v>
      </c>
      <c r="C2" s="1">
        <v>1.2</v>
      </c>
      <c r="D2" s="1">
        <v>96.5</v>
      </c>
      <c r="E2" s="1"/>
      <c r="F2" s="1" t="s">
        <v>64</v>
      </c>
      <c r="G2" s="1">
        <v>3.5</v>
      </c>
      <c r="H2" s="1">
        <f>((D2*Products!D3/Products!H3)+(G2*Products!D6/Products!H6))/100</f>
        <v>0.25874999999999998</v>
      </c>
      <c r="I2" s="1">
        <v>1</v>
      </c>
      <c r="J2" t="s">
        <v>65</v>
      </c>
    </row>
    <row r="3" spans="1:10">
      <c r="A3" t="s">
        <v>16</v>
      </c>
      <c r="B3" s="1">
        <v>1.81</v>
      </c>
      <c r="C3" s="1">
        <v>0.3</v>
      </c>
      <c r="D3" s="1">
        <v>87</v>
      </c>
      <c r="E3" s="1"/>
      <c r="F3" s="1" t="s">
        <v>30</v>
      </c>
      <c r="G3" s="1">
        <v>13</v>
      </c>
      <c r="H3" s="1">
        <f>((D3*Products!D5/Products!H5)+(G3*Products!D12/Products!H12))/100</f>
        <v>0.17399999999999999</v>
      </c>
      <c r="I3" s="1">
        <v>1</v>
      </c>
      <c r="J3" t="s">
        <v>66</v>
      </c>
    </row>
    <row r="4" spans="1:10">
      <c r="A4" t="s">
        <v>14</v>
      </c>
      <c r="B4" s="1">
        <f>1.23-(-0.7)</f>
        <v>1.93</v>
      </c>
      <c r="C4" s="1">
        <v>128</v>
      </c>
      <c r="D4" s="1">
        <v>43</v>
      </c>
      <c r="E4" s="1">
        <v>25</v>
      </c>
      <c r="F4" s="1" t="s">
        <v>67</v>
      </c>
      <c r="G4" s="1" t="s">
        <v>68</v>
      </c>
      <c r="H4" s="1">
        <f>((D4*Products!D4/Products!H4)+(34*Products!D10/Products!H10)+(16*Products!D12/Products!H12)+(4*Products!D3/Products!H3)+(3*Products!D9/Products!H9))/100</f>
        <v>0.14208333333333334</v>
      </c>
      <c r="I4" s="1">
        <v>1</v>
      </c>
      <c r="J4" t="s">
        <v>69</v>
      </c>
    </row>
    <row r="5" spans="1:10">
      <c r="A5" t="s">
        <v>18</v>
      </c>
      <c r="B5" s="1">
        <v>4.0999999999999996</v>
      </c>
      <c r="C5" s="1">
        <v>133</v>
      </c>
      <c r="D5" s="1">
        <v>86</v>
      </c>
      <c r="E5" s="1">
        <v>33</v>
      </c>
      <c r="F5" s="1" t="s">
        <v>29</v>
      </c>
      <c r="G5" s="1">
        <v>14</v>
      </c>
      <c r="H5" s="1">
        <f>((D5*Products!D6/Products!H6)+(G5*Products!D11/Products!H11))/100</f>
        <v>0.5</v>
      </c>
      <c r="I5" s="1">
        <v>1</v>
      </c>
      <c r="J5" t="s">
        <v>70</v>
      </c>
    </row>
    <row r="6" spans="1:10">
      <c r="A6" t="s">
        <v>22</v>
      </c>
      <c r="B6" s="1">
        <v>2.67</v>
      </c>
      <c r="C6" s="1">
        <v>41.5</v>
      </c>
      <c r="D6" s="1">
        <v>77.599999999999994</v>
      </c>
      <c r="E6" s="1">
        <v>61.7</v>
      </c>
      <c r="F6" s="1" t="s">
        <v>71</v>
      </c>
      <c r="G6" s="1" t="s">
        <v>72</v>
      </c>
      <c r="H6" s="1">
        <f>((D6*Products!D8/Products!H8)+(20*Products!D6/Products!H6)+(2.4*Products!D11/Products!H11))/100</f>
        <v>0.24133333333333329</v>
      </c>
      <c r="I6" s="1">
        <v>1</v>
      </c>
      <c r="J6" t="s">
        <v>73</v>
      </c>
    </row>
    <row r="7" spans="1:10">
      <c r="A7" t="s">
        <v>28</v>
      </c>
      <c r="B7" s="1">
        <v>3</v>
      </c>
      <c r="C7" s="1">
        <v>350</v>
      </c>
      <c r="D7" s="1">
        <v>100</v>
      </c>
      <c r="E7" s="1">
        <v>45.4</v>
      </c>
      <c r="F7" s="1" t="s">
        <v>74</v>
      </c>
      <c r="G7" s="1">
        <v>0</v>
      </c>
      <c r="H7" s="1">
        <f>(D7*Products!D11/Products!H11)/100</f>
        <v>0.5</v>
      </c>
      <c r="I7" s="1">
        <v>1</v>
      </c>
      <c r="J7" t="s">
        <v>75</v>
      </c>
    </row>
  </sheetData>
  <autoFilter ref="A1:J6" xr:uid="{00000000-0009-0000-0000-000000000000}"/>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
  <sheetViews>
    <sheetView zoomScaleNormal="100" workbookViewId="0">
      <selection activeCell="F25" sqref="F25"/>
    </sheetView>
  </sheetViews>
  <sheetFormatPr defaultColWidth="8.7109375" defaultRowHeight="13.15"/>
  <cols>
    <col min="1" max="1" width="19.140625" customWidth="1"/>
    <col min="2" max="2" width="11.42578125"/>
    <col min="3" max="3" width="20" customWidth="1"/>
    <col min="4" max="4" width="22.140625" style="1" customWidth="1"/>
    <col min="5" max="5" width="17.28515625" customWidth="1"/>
    <col min="6" max="6" width="36.7109375" style="1" customWidth="1"/>
    <col min="7" max="7" width="16.28515625" customWidth="1"/>
    <col min="8" max="9" width="16.28515625" style="1" customWidth="1"/>
    <col min="10" max="1025" width="11.42578125"/>
  </cols>
  <sheetData>
    <row r="1" spans="1:9">
      <c r="A1" s="2" t="s">
        <v>0</v>
      </c>
      <c r="B1" s="2" t="s">
        <v>46</v>
      </c>
      <c r="C1" s="2" t="s">
        <v>47</v>
      </c>
      <c r="D1" s="3" t="s">
        <v>48</v>
      </c>
      <c r="E1" s="2" t="s">
        <v>57</v>
      </c>
      <c r="F1" s="3" t="s">
        <v>58</v>
      </c>
      <c r="G1" s="3" t="s">
        <v>59</v>
      </c>
      <c r="H1" s="3" t="s">
        <v>60</v>
      </c>
      <c r="I1" s="3" t="s">
        <v>61</v>
      </c>
    </row>
    <row r="2" spans="1:9">
      <c r="A2" t="s">
        <v>9</v>
      </c>
      <c r="B2" s="1">
        <v>3</v>
      </c>
      <c r="C2" s="1">
        <v>300</v>
      </c>
      <c r="D2" s="1">
        <v>80</v>
      </c>
      <c r="E2" s="1">
        <v>30</v>
      </c>
      <c r="F2" s="1" t="s">
        <v>62</v>
      </c>
      <c r="G2" s="1">
        <f t="shared" ref="G2:G15" si="0">100-D2</f>
        <v>20</v>
      </c>
      <c r="H2" s="1">
        <f>((D2*Products!D2/Products!H2)+(G2*Products!D6/Products!H6))/100</f>
        <v>0.26</v>
      </c>
      <c r="I2" s="1">
        <v>1</v>
      </c>
    </row>
    <row r="3" spans="1:9">
      <c r="A3" t="s">
        <v>12</v>
      </c>
      <c r="B3" s="1">
        <v>3</v>
      </c>
      <c r="C3" s="1">
        <v>300</v>
      </c>
      <c r="D3" s="1">
        <v>80</v>
      </c>
      <c r="E3" s="1">
        <v>30</v>
      </c>
      <c r="F3" s="1" t="s">
        <v>62</v>
      </c>
      <c r="G3" s="1">
        <f t="shared" si="0"/>
        <v>20</v>
      </c>
      <c r="H3" s="1">
        <f>((D3*Products!D3/Products!H3)+(G3*Products!D6/Products!H6))/100</f>
        <v>0.3</v>
      </c>
      <c r="I3" s="1">
        <v>1</v>
      </c>
    </row>
    <row r="4" spans="1:9">
      <c r="A4" t="s">
        <v>14</v>
      </c>
      <c r="B4" s="1">
        <v>3</v>
      </c>
      <c r="C4" s="1">
        <v>300</v>
      </c>
      <c r="D4" s="1">
        <v>80</v>
      </c>
      <c r="E4" s="1">
        <v>30</v>
      </c>
      <c r="F4" s="1" t="s">
        <v>62</v>
      </c>
      <c r="G4" s="1">
        <f t="shared" si="0"/>
        <v>20</v>
      </c>
      <c r="H4" s="1">
        <f>((D4*Products!D4/Products!H4)+(G4*Products!D6/Products!H6))/100</f>
        <v>0.23333333333333336</v>
      </c>
      <c r="I4" s="1">
        <v>1</v>
      </c>
    </row>
    <row r="5" spans="1:9">
      <c r="A5" t="s">
        <v>16</v>
      </c>
      <c r="B5" s="1">
        <v>3</v>
      </c>
      <c r="C5" s="1">
        <v>300</v>
      </c>
      <c r="D5" s="1">
        <v>80</v>
      </c>
      <c r="E5" s="1">
        <v>30</v>
      </c>
      <c r="F5" s="1" t="s">
        <v>62</v>
      </c>
      <c r="G5" s="1">
        <f t="shared" si="0"/>
        <v>20</v>
      </c>
      <c r="H5" s="1">
        <f>((D5*Products!D5/Products!H5)+(G5*Products!D6/Products!H6))/100</f>
        <v>0.26</v>
      </c>
      <c r="I5" s="1">
        <v>1</v>
      </c>
    </row>
    <row r="6" spans="1:9">
      <c r="A6" t="s">
        <v>18</v>
      </c>
      <c r="B6" s="1">
        <v>3</v>
      </c>
      <c r="C6" s="1">
        <v>300</v>
      </c>
      <c r="D6" s="1">
        <v>80</v>
      </c>
      <c r="E6" s="1">
        <v>30</v>
      </c>
      <c r="F6" s="1" t="s">
        <v>29</v>
      </c>
      <c r="G6" s="1">
        <f t="shared" si="0"/>
        <v>20</v>
      </c>
      <c r="H6" s="1">
        <f>((D6*Products!D6/Products!H6)+(G6*Products!D11/Products!H11))/100</f>
        <v>0.5</v>
      </c>
      <c r="I6" s="1">
        <v>1</v>
      </c>
    </row>
    <row r="7" spans="1:9">
      <c r="A7" t="s">
        <v>20</v>
      </c>
      <c r="B7" s="1">
        <v>3</v>
      </c>
      <c r="C7" s="1">
        <v>300</v>
      </c>
      <c r="D7" s="1">
        <v>80</v>
      </c>
      <c r="E7" s="1">
        <v>30</v>
      </c>
      <c r="F7" s="1" t="s">
        <v>62</v>
      </c>
      <c r="G7" s="1">
        <f t="shared" si="0"/>
        <v>20</v>
      </c>
      <c r="H7" s="1">
        <f>((D7*Products!D7/Products!H7)+(G7*Products!D6/Products!H6))/100</f>
        <v>0.3</v>
      </c>
      <c r="I7" s="1">
        <v>1</v>
      </c>
    </row>
    <row r="8" spans="1:9">
      <c r="A8" t="s">
        <v>22</v>
      </c>
      <c r="B8" s="1">
        <v>3</v>
      </c>
      <c r="C8" s="1">
        <v>300</v>
      </c>
      <c r="D8" s="1">
        <v>80</v>
      </c>
      <c r="E8" s="1">
        <v>30</v>
      </c>
      <c r="F8" s="1" t="s">
        <v>62</v>
      </c>
      <c r="G8" s="1">
        <f t="shared" si="0"/>
        <v>20</v>
      </c>
      <c r="H8" s="1">
        <f>((D8*Products!D9/Products!H9)+(G8*Products!D6/Products!H6))/100</f>
        <v>0.2</v>
      </c>
      <c r="I8" s="1">
        <v>1</v>
      </c>
    </row>
    <row r="9" spans="1:9">
      <c r="A9" t="s">
        <v>28</v>
      </c>
      <c r="B9" s="1">
        <v>3</v>
      </c>
      <c r="C9" s="1">
        <v>300</v>
      </c>
      <c r="D9" s="1">
        <v>80</v>
      </c>
      <c r="E9" s="1">
        <v>30</v>
      </c>
      <c r="F9" s="1" t="s">
        <v>18</v>
      </c>
      <c r="G9" s="1">
        <f t="shared" si="0"/>
        <v>20</v>
      </c>
      <c r="H9" s="1">
        <f>((D9*Products!$D$11/Products!$H$11)+(G9*Products!$D$6/Products!$H$6))/100</f>
        <v>0.5</v>
      </c>
      <c r="I9" s="1">
        <v>1</v>
      </c>
    </row>
    <row r="10" spans="1:9">
      <c r="A10" t="s">
        <v>32</v>
      </c>
      <c r="B10" s="1">
        <v>3</v>
      </c>
      <c r="C10" s="1">
        <v>300</v>
      </c>
      <c r="D10" s="1">
        <v>66.7</v>
      </c>
      <c r="E10" s="1">
        <v>30</v>
      </c>
      <c r="F10" s="1" t="s">
        <v>30</v>
      </c>
      <c r="G10" s="1">
        <f t="shared" si="0"/>
        <v>33.299999999999997</v>
      </c>
      <c r="H10" s="1">
        <f>((D10*Products!$D$11/Products!$H$11)+(G10*Products!$D$12/Products!$H$12))/100</f>
        <v>0.33350000000000002</v>
      </c>
      <c r="I10" s="1">
        <v>1</v>
      </c>
    </row>
    <row r="11" spans="1:9">
      <c r="A11" t="s">
        <v>34</v>
      </c>
      <c r="B11" s="1">
        <v>3</v>
      </c>
      <c r="C11" s="1">
        <v>300</v>
      </c>
      <c r="D11" s="1">
        <v>50</v>
      </c>
      <c r="E11" s="1">
        <v>30</v>
      </c>
      <c r="F11" s="1" t="s">
        <v>30</v>
      </c>
      <c r="G11" s="1">
        <f t="shared" si="0"/>
        <v>50</v>
      </c>
      <c r="H11" s="1">
        <f>((D11*Products!$D$11/Products!$H$11)+(G11*Products!$D$12/Products!$H$12))/100</f>
        <v>0.25</v>
      </c>
      <c r="I11" s="1">
        <v>1</v>
      </c>
    </row>
    <row r="12" spans="1:9">
      <c r="A12" t="s">
        <v>35</v>
      </c>
      <c r="B12" s="1">
        <v>3</v>
      </c>
      <c r="C12" s="1">
        <v>300</v>
      </c>
      <c r="D12" s="1">
        <v>33.299999999999997</v>
      </c>
      <c r="E12" s="1">
        <v>30</v>
      </c>
      <c r="F12" s="1" t="s">
        <v>30</v>
      </c>
      <c r="G12" s="1">
        <f t="shared" si="0"/>
        <v>66.7</v>
      </c>
      <c r="H12" s="1">
        <f>((D12*Products!$D$11/Products!$H$11)+(G12*Products!$D$12/Products!$H$12))/100</f>
        <v>0.16649999999999998</v>
      </c>
      <c r="I12" s="1">
        <v>1</v>
      </c>
    </row>
    <row r="13" spans="1:9">
      <c r="A13" t="s">
        <v>36</v>
      </c>
      <c r="B13" s="1">
        <v>3</v>
      </c>
      <c r="C13" s="1">
        <v>300</v>
      </c>
      <c r="D13" s="1">
        <v>66.599999999999994</v>
      </c>
      <c r="E13" s="1">
        <v>30</v>
      </c>
      <c r="F13" s="1" t="s">
        <v>30</v>
      </c>
      <c r="G13" s="1">
        <f t="shared" si="0"/>
        <v>33.400000000000006</v>
      </c>
      <c r="H13" s="1">
        <f>((D13*Products!$D$6/Products!$H$6)+(G13*Products!$D$12/Products!$H$12))/100</f>
        <v>0.33299999999999996</v>
      </c>
      <c r="I13" s="1">
        <v>1</v>
      </c>
    </row>
    <row r="14" spans="1:9">
      <c r="A14" t="s">
        <v>37</v>
      </c>
      <c r="B14" s="1">
        <v>3</v>
      </c>
      <c r="C14" s="1">
        <v>300</v>
      </c>
      <c r="D14" s="1">
        <v>50</v>
      </c>
      <c r="E14" s="1">
        <v>30</v>
      </c>
      <c r="F14" s="1" t="s">
        <v>30</v>
      </c>
      <c r="G14" s="1">
        <f t="shared" si="0"/>
        <v>50</v>
      </c>
      <c r="H14" s="1">
        <f>((D14*Products!$D$6/Products!$H$6)+(G14*Products!$D$12/Products!$H$12))/100</f>
        <v>0.25</v>
      </c>
      <c r="I14" s="1">
        <v>1</v>
      </c>
    </row>
    <row r="15" spans="1:9">
      <c r="A15" t="s">
        <v>38</v>
      </c>
      <c r="B15" s="1">
        <v>3</v>
      </c>
      <c r="C15" s="1">
        <v>300</v>
      </c>
      <c r="D15" s="1">
        <v>33.299999999999997</v>
      </c>
      <c r="E15" s="1">
        <v>30</v>
      </c>
      <c r="F15" s="1" t="s">
        <v>30</v>
      </c>
      <c r="G15" s="1">
        <f t="shared" si="0"/>
        <v>66.7</v>
      </c>
      <c r="H15" s="1">
        <f>((D15*Products!$D$6/Products!$H$6)+(G15*Products!$D$12/Products!$H$12))/100</f>
        <v>0.16649999999999998</v>
      </c>
      <c r="I15" s="1">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
  <sheetViews>
    <sheetView zoomScaleNormal="100" workbookViewId="0">
      <selection activeCell="G19" sqref="G19"/>
    </sheetView>
  </sheetViews>
  <sheetFormatPr defaultColWidth="8.7109375" defaultRowHeight="13.15"/>
  <cols>
    <col min="1" max="1" width="19.140625" customWidth="1"/>
    <col min="2" max="2" width="11.42578125"/>
    <col min="3" max="3" width="20" customWidth="1"/>
    <col min="4" max="4" width="22.140625" style="1" customWidth="1"/>
    <col min="5" max="5" width="17.28515625" customWidth="1"/>
    <col min="6" max="6" width="36.7109375" style="1" customWidth="1"/>
    <col min="7" max="7" width="16.28515625" customWidth="1"/>
    <col min="8" max="9" width="16.28515625" style="1" customWidth="1"/>
    <col min="10" max="1025" width="11.42578125"/>
  </cols>
  <sheetData>
    <row r="1" spans="1:9">
      <c r="A1" s="2" t="s">
        <v>0</v>
      </c>
      <c r="B1" s="2" t="s">
        <v>46</v>
      </c>
      <c r="C1" s="2" t="s">
        <v>47</v>
      </c>
      <c r="D1" s="3" t="s">
        <v>48</v>
      </c>
      <c r="E1" s="2" t="s">
        <v>57</v>
      </c>
      <c r="F1" s="3" t="s">
        <v>58</v>
      </c>
      <c r="G1" s="3" t="s">
        <v>59</v>
      </c>
      <c r="H1" s="3" t="s">
        <v>60</v>
      </c>
      <c r="I1" s="3" t="s">
        <v>61</v>
      </c>
    </row>
    <row r="2" spans="1:9">
      <c r="A2" t="s">
        <v>9</v>
      </c>
      <c r="B2" s="1">
        <v>2</v>
      </c>
      <c r="C2" s="1">
        <v>500</v>
      </c>
      <c r="D2" s="1">
        <v>90</v>
      </c>
      <c r="E2" s="1">
        <v>30</v>
      </c>
      <c r="F2" s="1" t="s">
        <v>62</v>
      </c>
      <c r="G2" s="1">
        <f t="shared" ref="G2:G15" si="0">100-D2</f>
        <v>10</v>
      </c>
      <c r="H2" s="1">
        <f>((D2*Products!D2/Products!H2)+(G2*Products!D6/Products!H6))/100</f>
        <v>0.23</v>
      </c>
      <c r="I2" s="1">
        <v>1</v>
      </c>
    </row>
    <row r="3" spans="1:9">
      <c r="A3" t="s">
        <v>12</v>
      </c>
      <c r="B3" s="1">
        <v>2</v>
      </c>
      <c r="C3" s="1">
        <v>500</v>
      </c>
      <c r="D3" s="1">
        <v>90</v>
      </c>
      <c r="E3" s="1">
        <v>30</v>
      </c>
      <c r="F3" s="1" t="s">
        <v>62</v>
      </c>
      <c r="G3" s="1">
        <f t="shared" si="0"/>
        <v>10</v>
      </c>
      <c r="H3" s="1">
        <f>((D3*Products!D3/Products!H3)+(G3*Products!D6/Products!H6))/100</f>
        <v>0.27500000000000002</v>
      </c>
      <c r="I3" s="1">
        <v>1</v>
      </c>
    </row>
    <row r="4" spans="1:9">
      <c r="A4" t="s">
        <v>14</v>
      </c>
      <c r="B4" s="1">
        <v>2</v>
      </c>
      <c r="C4" s="1">
        <v>500</v>
      </c>
      <c r="D4" s="1">
        <v>90</v>
      </c>
      <c r="E4" s="1">
        <v>30</v>
      </c>
      <c r="F4" s="1" t="s">
        <v>62</v>
      </c>
      <c r="G4" s="1">
        <f t="shared" si="0"/>
        <v>10</v>
      </c>
      <c r="H4" s="1">
        <f>((D4*Products!D4/Products!H4)+(G4*Products!D6/Products!H6))/100</f>
        <v>0.2</v>
      </c>
      <c r="I4" s="1">
        <v>1</v>
      </c>
    </row>
    <row r="5" spans="1:9">
      <c r="A5" t="s">
        <v>16</v>
      </c>
      <c r="B5" s="1">
        <v>2</v>
      </c>
      <c r="C5" s="1">
        <v>500</v>
      </c>
      <c r="D5" s="1">
        <v>90</v>
      </c>
      <c r="E5" s="1">
        <v>30</v>
      </c>
      <c r="F5" s="1" t="s">
        <v>62</v>
      </c>
      <c r="G5" s="1">
        <f t="shared" si="0"/>
        <v>10</v>
      </c>
      <c r="H5" s="1">
        <f>((D5*Products!D5/Products!H5)+(G5*Products!D6/Products!H6))/100</f>
        <v>0.23</v>
      </c>
      <c r="I5" s="1">
        <v>1</v>
      </c>
    </row>
    <row r="6" spans="1:9">
      <c r="A6" t="s">
        <v>18</v>
      </c>
      <c r="B6" s="1">
        <v>2</v>
      </c>
      <c r="C6" s="1">
        <v>500</v>
      </c>
      <c r="D6" s="1">
        <v>90</v>
      </c>
      <c r="E6" s="1">
        <v>30</v>
      </c>
      <c r="F6" s="1" t="s">
        <v>29</v>
      </c>
      <c r="G6" s="1">
        <f t="shared" si="0"/>
        <v>10</v>
      </c>
      <c r="H6" s="1">
        <f>((D6*Products!D6/Products!H6)+(G6*Products!D11/Products!H11))/100</f>
        <v>0.5</v>
      </c>
      <c r="I6" s="1">
        <v>1</v>
      </c>
    </row>
    <row r="7" spans="1:9">
      <c r="A7" t="s">
        <v>20</v>
      </c>
      <c r="B7" s="1">
        <v>2</v>
      </c>
      <c r="C7" s="1">
        <v>500</v>
      </c>
      <c r="D7" s="1">
        <v>90</v>
      </c>
      <c r="E7" s="1">
        <v>30</v>
      </c>
      <c r="F7" s="1" t="s">
        <v>62</v>
      </c>
      <c r="G7" s="1">
        <f t="shared" si="0"/>
        <v>10</v>
      </c>
      <c r="H7" s="1">
        <f>((D7*Products!D7/Products!H7)+(G7*Products!D6/Products!H6))/100</f>
        <v>0.27500000000000002</v>
      </c>
      <c r="I7" s="1">
        <v>1</v>
      </c>
    </row>
    <row r="8" spans="1:9">
      <c r="A8" t="s">
        <v>22</v>
      </c>
      <c r="B8" s="1">
        <v>2</v>
      </c>
      <c r="C8" s="1">
        <v>500</v>
      </c>
      <c r="D8" s="1">
        <v>90</v>
      </c>
      <c r="E8" s="1">
        <v>30</v>
      </c>
      <c r="F8" s="1" t="s">
        <v>62</v>
      </c>
      <c r="G8" s="1">
        <f t="shared" si="0"/>
        <v>10</v>
      </c>
      <c r="H8" s="1">
        <f>((D8*Products!D9/Products!H9)+(G8*Products!D6/Products!H6))/100</f>
        <v>0.16250000000000001</v>
      </c>
      <c r="I8" s="1">
        <v>1</v>
      </c>
    </row>
    <row r="9" spans="1:9">
      <c r="A9" t="s">
        <v>28</v>
      </c>
      <c r="B9" s="1">
        <v>2</v>
      </c>
      <c r="C9" s="1">
        <v>500</v>
      </c>
      <c r="D9" s="1">
        <v>90</v>
      </c>
      <c r="E9" s="1">
        <v>30</v>
      </c>
      <c r="F9" s="1" t="s">
        <v>18</v>
      </c>
      <c r="G9" s="1">
        <f t="shared" si="0"/>
        <v>10</v>
      </c>
      <c r="H9" s="1">
        <f>((D9*Products!$D$11/Products!$H$11)+(G9*Products!$D$6/Products!$H$6))/100</f>
        <v>0.5</v>
      </c>
      <c r="I9" s="1">
        <v>1</v>
      </c>
    </row>
    <row r="10" spans="1:9">
      <c r="A10" t="s">
        <v>32</v>
      </c>
      <c r="B10" s="1">
        <v>2</v>
      </c>
      <c r="C10" s="1">
        <v>500</v>
      </c>
      <c r="D10" s="1">
        <v>66.7</v>
      </c>
      <c r="E10" s="1">
        <v>30</v>
      </c>
      <c r="F10" s="1" t="s">
        <v>30</v>
      </c>
      <c r="G10" s="1">
        <f t="shared" si="0"/>
        <v>33.299999999999997</v>
      </c>
      <c r="H10" s="1">
        <f>((D10*Products!$D$11/Products!$H$11)+(G10*Products!$D$12/Products!$H$12))/100</f>
        <v>0.33350000000000002</v>
      </c>
      <c r="I10" s="1">
        <v>1</v>
      </c>
    </row>
    <row r="11" spans="1:9">
      <c r="A11" t="s">
        <v>34</v>
      </c>
      <c r="B11" s="1">
        <v>2</v>
      </c>
      <c r="C11" s="1">
        <v>500</v>
      </c>
      <c r="D11" s="1">
        <v>50</v>
      </c>
      <c r="E11" s="1">
        <v>30</v>
      </c>
      <c r="F11" s="1" t="s">
        <v>30</v>
      </c>
      <c r="G11" s="1">
        <f t="shared" si="0"/>
        <v>50</v>
      </c>
      <c r="H11" s="1">
        <f>((D11*Products!$D$11/Products!$H$11)+(G11*Products!$D$12/Products!$H$12))/100</f>
        <v>0.25</v>
      </c>
      <c r="I11" s="1">
        <v>1</v>
      </c>
    </row>
    <row r="12" spans="1:9">
      <c r="A12" t="s">
        <v>35</v>
      </c>
      <c r="B12" s="1">
        <v>2</v>
      </c>
      <c r="C12" s="1">
        <v>500</v>
      </c>
      <c r="D12" s="1">
        <v>33.299999999999997</v>
      </c>
      <c r="E12" s="1">
        <v>30</v>
      </c>
      <c r="F12" s="1" t="s">
        <v>30</v>
      </c>
      <c r="G12" s="1">
        <f t="shared" si="0"/>
        <v>66.7</v>
      </c>
      <c r="H12" s="1">
        <f>((D12*Products!$D$11/Products!$H$11)+(G12*Products!$D$12/Products!$H$12))/100</f>
        <v>0.16649999999999998</v>
      </c>
      <c r="I12" s="1">
        <v>1</v>
      </c>
    </row>
    <row r="13" spans="1:9">
      <c r="A13" t="s">
        <v>36</v>
      </c>
      <c r="B13" s="1">
        <v>2</v>
      </c>
      <c r="C13" s="1">
        <v>500</v>
      </c>
      <c r="D13" s="1">
        <v>66.599999999999994</v>
      </c>
      <c r="E13" s="1">
        <v>30</v>
      </c>
      <c r="F13" s="1" t="s">
        <v>30</v>
      </c>
      <c r="G13" s="1">
        <f t="shared" si="0"/>
        <v>33.400000000000006</v>
      </c>
      <c r="H13" s="1">
        <f>((D13*Products!$D$6/Products!$H$6)+(G13*Products!$D$12/Products!$H$12))/100</f>
        <v>0.33299999999999996</v>
      </c>
      <c r="I13" s="1">
        <v>1</v>
      </c>
    </row>
    <row r="14" spans="1:9">
      <c r="A14" t="s">
        <v>37</v>
      </c>
      <c r="B14" s="1">
        <v>2</v>
      </c>
      <c r="C14" s="1">
        <v>500</v>
      </c>
      <c r="D14" s="1">
        <v>50</v>
      </c>
      <c r="E14" s="1">
        <v>30</v>
      </c>
      <c r="F14" s="1" t="s">
        <v>30</v>
      </c>
      <c r="G14" s="1">
        <f t="shared" si="0"/>
        <v>50</v>
      </c>
      <c r="H14" s="1">
        <f>((D14*Products!$D$6/Products!$H$6)+(G14*Products!$D$12/Products!$H$12))/100</f>
        <v>0.25</v>
      </c>
      <c r="I14" s="1">
        <v>1</v>
      </c>
    </row>
    <row r="15" spans="1:9">
      <c r="A15" t="s">
        <v>38</v>
      </c>
      <c r="B15" s="1">
        <v>2</v>
      </c>
      <c r="C15" s="1">
        <v>500</v>
      </c>
      <c r="D15" s="1">
        <v>33.299999999999997</v>
      </c>
      <c r="E15" s="1">
        <v>30</v>
      </c>
      <c r="F15" s="1" t="s">
        <v>30</v>
      </c>
      <c r="G15" s="1">
        <f t="shared" si="0"/>
        <v>66.7</v>
      </c>
      <c r="H15" s="1">
        <f>((D15*Products!$D$6/Products!$H$6)+(G15*Products!$D$12/Products!$H$12))/100</f>
        <v>0.16649999999999998</v>
      </c>
      <c r="I15" s="1">
        <v>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Normal="100" workbookViewId="0">
      <selection activeCell="M10" sqref="M10"/>
    </sheetView>
  </sheetViews>
  <sheetFormatPr defaultColWidth="8.7109375" defaultRowHeight="13.15"/>
  <cols>
    <col min="1" max="1" width="20" customWidth="1"/>
    <col min="2" max="4" width="11.42578125"/>
    <col min="5" max="5" width="14.28515625" customWidth="1"/>
    <col min="6" max="6" width="23" customWidth="1"/>
    <col min="7" max="7" width="17" customWidth="1"/>
    <col min="8" max="8" width="17.7109375" customWidth="1"/>
    <col min="9" max="1025" width="11.42578125"/>
  </cols>
  <sheetData>
    <row r="1" spans="1:9">
      <c r="A1" s="2" t="s">
        <v>0</v>
      </c>
      <c r="B1" s="2" t="s">
        <v>8</v>
      </c>
      <c r="C1" s="2" t="s">
        <v>76</v>
      </c>
      <c r="D1" s="2" t="s">
        <v>46</v>
      </c>
      <c r="E1" s="2" t="s">
        <v>47</v>
      </c>
      <c r="F1" s="3" t="s">
        <v>48</v>
      </c>
      <c r="G1" s="2" t="s">
        <v>57</v>
      </c>
      <c r="H1" s="3" t="s">
        <v>61</v>
      </c>
      <c r="I1" s="2" t="s">
        <v>77</v>
      </c>
    </row>
    <row r="2" spans="1:9">
      <c r="A2" t="s">
        <v>42</v>
      </c>
      <c r="B2" s="1">
        <v>4</v>
      </c>
      <c r="C2" t="s">
        <v>78</v>
      </c>
      <c r="D2" s="1">
        <v>3</v>
      </c>
      <c r="E2" s="1">
        <v>300</v>
      </c>
      <c r="F2" s="1">
        <v>80</v>
      </c>
      <c r="G2" s="1">
        <v>30</v>
      </c>
      <c r="H2" s="1">
        <v>1</v>
      </c>
      <c r="I2" t="s">
        <v>79</v>
      </c>
    </row>
    <row r="3" spans="1:9">
      <c r="A3" t="s">
        <v>42</v>
      </c>
      <c r="B3" s="1">
        <v>2</v>
      </c>
      <c r="C3" t="s">
        <v>80</v>
      </c>
      <c r="D3" s="1">
        <v>2</v>
      </c>
      <c r="E3" s="1">
        <v>500</v>
      </c>
      <c r="F3" s="1">
        <v>90</v>
      </c>
      <c r="G3" s="1">
        <v>30</v>
      </c>
      <c r="H3" s="1">
        <v>1</v>
      </c>
      <c r="I3" t="s">
        <v>79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8CE6-ED14-AF49-8682-DB4995B8A39C}">
  <dimension ref="A1:I3"/>
  <sheetViews>
    <sheetView topLeftCell="A2" workbookViewId="0">
      <selection activeCell="D28" sqref="D28"/>
    </sheetView>
  </sheetViews>
  <sheetFormatPr defaultColWidth="11.5703125" defaultRowHeight="13.15"/>
  <sheetData>
    <row r="1" spans="1:9" s="8" customFormat="1" ht="49.9" customHeight="1">
      <c r="A1" s="8" t="s">
        <v>81</v>
      </c>
      <c r="B1" s="8" t="s">
        <v>82</v>
      </c>
      <c r="C1" s="8" t="s">
        <v>83</v>
      </c>
      <c r="D1" s="8" t="s">
        <v>84</v>
      </c>
      <c r="E1" s="8" t="s">
        <v>85</v>
      </c>
      <c r="F1" s="8" t="s">
        <v>86</v>
      </c>
      <c r="G1" s="8" t="s">
        <v>87</v>
      </c>
      <c r="H1" s="8" t="s">
        <v>88</v>
      </c>
      <c r="I1" s="8" t="s">
        <v>77</v>
      </c>
    </row>
    <row r="2" spans="1:9">
      <c r="A2" s="9" t="s">
        <v>89</v>
      </c>
      <c r="B2" s="9" t="s">
        <v>90</v>
      </c>
      <c r="C2" s="9">
        <v>0.25</v>
      </c>
      <c r="D2" s="9"/>
      <c r="E2" s="9">
        <v>1989043</v>
      </c>
      <c r="F2" s="9">
        <v>1000</v>
      </c>
      <c r="G2" s="9"/>
      <c r="H2" s="9">
        <v>0.7</v>
      </c>
      <c r="I2" s="9" t="s">
        <v>91</v>
      </c>
    </row>
    <row r="3" spans="1:9">
      <c r="A3" s="9" t="s">
        <v>92</v>
      </c>
      <c r="B3" s="9" t="s">
        <v>93</v>
      </c>
      <c r="C3" s="9"/>
      <c r="D3" s="9">
        <f>5610420/365/0.9</f>
        <v>17078.904109589039</v>
      </c>
      <c r="E3" s="9">
        <v>4687910</v>
      </c>
      <c r="F3" s="9"/>
      <c r="G3" s="9">
        <v>1000</v>
      </c>
      <c r="H3" s="9">
        <v>0.7</v>
      </c>
      <c r="I3" s="9" t="s">
        <v>91</v>
      </c>
    </row>
  </sheetData>
  <dataValidations count="1">
    <dataValidation type="list" allowBlank="1" showInputMessage="1" showErrorMessage="1" sqref="B2:B3" xr:uid="{713B440C-EC2D-6347-A5DB-BB0071D3FFEF}">
      <formula1>"GAS, LIQUID"</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Harrison</dc:creator>
  <cp:keywords/>
  <dc:description/>
  <cp:lastModifiedBy>Austin Zheng</cp:lastModifiedBy>
  <cp:revision>128</cp:revision>
  <dcterms:created xsi:type="dcterms:W3CDTF">2021-05-12T18:02:07Z</dcterms:created>
  <dcterms:modified xsi:type="dcterms:W3CDTF">2023-05-04T18:26:15Z</dcterms:modified>
  <cp:category/>
  <cp:contentStatus/>
</cp:coreProperties>
</file>