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mmah\Dropbox\Grad School\Papers\Modeling Paper\eCO2R TEA Code\Input\"/>
    </mc:Choice>
  </mc:AlternateContent>
  <xr:revisionPtr revIDLastSave="0" documentId="13_ncr:1_{052AF798-2F70-45C0-B88B-A61E8DA36399}" xr6:coauthVersionLast="47" xr6:coauthVersionMax="47" xr10:uidLastSave="{00000000-0000-0000-0000-000000000000}"/>
  <bookViews>
    <workbookView xWindow="-108" yWindow="-108" windowWidth="23256" windowHeight="12456" tabRatio="500" xr2:uid="{00000000-000D-0000-FFFF-FFFF00000000}"/>
  </bookViews>
  <sheets>
    <sheet name="ParametersRealistic" sheetId="1" r:id="rId1"/>
    <sheet name="ParametersIdeal_BASE" sheetId="2" r:id="rId2"/>
    <sheet name="ParametersIdeal_BEST" sheetId="3" r:id="rId3"/>
    <sheet name="Separation Parameters" sheetId="8" r:id="rId4"/>
    <sheet name="Products" sheetId="4" r:id="rId5"/>
    <sheet name="SensitivityAnalysis" sheetId="5" r:id="rId6"/>
    <sheet name="SensitivityAnalysis_SARGENT" sheetId="6" r:id="rId7"/>
    <sheet name="CO2-H2_Mixtures" sheetId="7" r:id="rId8"/>
  </sheets>
  <definedNames>
    <definedName name="_xlnm._FilterDatabase" localSheetId="0" hidden="1">ParametersRealistic!$A$1:$J$6</definedName>
    <definedName name="_xlnm._FilterDatabase" localSheetId="4" hidden="1">Products!$A$1:$H$8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3" i="8" l="1"/>
  <c r="H2" i="2" l="1"/>
  <c r="F5" i="6"/>
  <c r="C5" i="6"/>
  <c r="B5" i="6"/>
  <c r="F4" i="6"/>
  <c r="C4" i="6"/>
  <c r="B4" i="6"/>
  <c r="F3" i="6"/>
  <c r="C3" i="6"/>
  <c r="B3" i="6"/>
  <c r="B5" i="5"/>
  <c r="B4" i="5"/>
  <c r="B3" i="5"/>
  <c r="G18" i="4"/>
  <c r="G17" i="4"/>
  <c r="G16" i="4"/>
  <c r="G15" i="4"/>
  <c r="G14" i="4"/>
  <c r="G13" i="4"/>
  <c r="G12" i="4"/>
  <c r="G11" i="4"/>
  <c r="G10" i="4"/>
  <c r="G9" i="4"/>
  <c r="G8" i="4"/>
  <c r="G7" i="4"/>
  <c r="G6" i="4"/>
  <c r="G5" i="4"/>
  <c r="G4" i="4"/>
  <c r="G3" i="4"/>
  <c r="G2" i="4"/>
  <c r="H15" i="3"/>
  <c r="G15" i="3"/>
  <c r="G14" i="3"/>
  <c r="H14" i="3" s="1"/>
  <c r="H13" i="3"/>
  <c r="G13" i="3"/>
  <c r="H12" i="3"/>
  <c r="G12" i="3"/>
  <c r="H11" i="3"/>
  <c r="G11" i="3"/>
  <c r="H10" i="3"/>
  <c r="G10" i="3"/>
  <c r="H9" i="3"/>
  <c r="G9" i="3"/>
  <c r="H8" i="3"/>
  <c r="G8" i="3"/>
  <c r="H7" i="3"/>
  <c r="G7" i="3"/>
  <c r="H6" i="3"/>
  <c r="G6" i="3"/>
  <c r="H5" i="3"/>
  <c r="G5" i="3"/>
  <c r="H4" i="3"/>
  <c r="G4" i="3"/>
  <c r="H3" i="3"/>
  <c r="G3" i="3"/>
  <c r="H2" i="3"/>
  <c r="G2" i="3"/>
  <c r="H15" i="2"/>
  <c r="G15" i="2"/>
  <c r="H14" i="2"/>
  <c r="G14" i="2"/>
  <c r="H13" i="2"/>
  <c r="G13" i="2"/>
  <c r="H12" i="2"/>
  <c r="G12" i="2"/>
  <c r="H11" i="2"/>
  <c r="G11" i="2"/>
  <c r="H10" i="2"/>
  <c r="G10" i="2"/>
  <c r="H9" i="2"/>
  <c r="G9" i="2"/>
  <c r="H8" i="2"/>
  <c r="G8" i="2"/>
  <c r="H7" i="2"/>
  <c r="G7" i="2"/>
  <c r="H6" i="2"/>
  <c r="G6" i="2"/>
  <c r="H5" i="2"/>
  <c r="G5" i="2"/>
  <c r="H4" i="2"/>
  <c r="G4" i="2"/>
  <c r="H3" i="2"/>
  <c r="G3" i="2"/>
  <c r="G2" i="2"/>
  <c r="H7" i="1"/>
  <c r="H6" i="1"/>
  <c r="H5" i="1"/>
  <c r="H4" i="1"/>
  <c r="B4"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rFont val="Arial"/>
            <family val="2"/>
            <charset val="1"/>
          </rPr>
          <t>Using 3 for base, 2 for best.</t>
        </r>
      </text>
    </comment>
    <comment ref="C1" authorId="0" shapeId="0" xr:uid="{00000000-0006-0000-0100-000002000000}">
      <text>
        <r>
          <rPr>
            <sz val="10"/>
            <rFont val="Arial"/>
            <family val="2"/>
            <charset val="1"/>
          </rPr>
          <t>Initially 200, changed to 300 on June 18, 2021.
300 for base base, 500 for best case</t>
        </r>
      </text>
    </comment>
    <comment ref="D1" authorId="0" shapeId="0" xr:uid="{00000000-0006-0000-0100-000003000000}">
      <text>
        <r>
          <rPr>
            <sz val="10"/>
            <rFont val="Arial"/>
            <family val="2"/>
            <charset val="1"/>
          </rPr>
          <t>Using 80 for base, 90 for best.</t>
        </r>
      </text>
    </comment>
    <comment ref="F1" authorId="0" shapeId="0" xr:uid="{00000000-0006-0000-01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1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rFont val="Arial"/>
            <family val="2"/>
            <charset val="1"/>
          </rPr>
          <t>Using 3 for base, 2 for best.</t>
        </r>
      </text>
    </comment>
    <comment ref="C1" authorId="0" shapeId="0" xr:uid="{00000000-0006-0000-0200-000002000000}">
      <text>
        <r>
          <rPr>
            <sz val="10"/>
            <color rgb="FF000000"/>
            <rFont val="Arial"/>
            <family val="2"/>
            <charset val="1"/>
          </rPr>
          <t xml:space="preserve">Initially 200, changed to 300 on June 18, 2021.
</t>
        </r>
        <r>
          <rPr>
            <sz val="10"/>
            <color rgb="FF000000"/>
            <rFont val="Arial"/>
            <family val="2"/>
            <charset val="1"/>
          </rPr>
          <t xml:space="preserve">
</t>
        </r>
        <r>
          <rPr>
            <sz val="10"/>
            <color rgb="FF000000"/>
            <rFont val="Arial"/>
            <family val="2"/>
            <charset val="1"/>
          </rPr>
          <t>300 for base base, 500 for best case</t>
        </r>
      </text>
    </comment>
    <comment ref="D1" authorId="0" shapeId="0" xr:uid="{00000000-0006-0000-0200-000003000000}">
      <text>
        <r>
          <rPr>
            <sz val="10"/>
            <rFont val="Arial"/>
            <family val="2"/>
            <charset val="1"/>
          </rPr>
          <t>Using 80 for base, 90 for best.</t>
        </r>
      </text>
    </comment>
    <comment ref="F1" authorId="0" shapeId="0" xr:uid="{00000000-0006-0000-02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2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1000000}">
      <text>
        <r>
          <rPr>
            <sz val="10"/>
            <rFont val="Arial"/>
            <family val="2"/>
            <charset val="1"/>
          </rPr>
          <t>Represents electrolyzer CAPITAL cost in $CA/m^2.
Initially used values: 1000, 1500 and 2000.
Increased to 1000, 2000 and 4000 $CA/m^2.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01000000}">
      <text>
        <r>
          <rPr>
            <sz val="10"/>
            <rFont val="Arial"/>
            <family val="2"/>
            <charset val="1"/>
          </rPr>
          <t>Mol H2/ mol CO2</t>
        </r>
      </text>
    </comment>
    <comment ref="D1" authorId="0" shapeId="0" xr:uid="{00000000-0006-0000-0600-000002000000}">
      <text>
        <r>
          <rPr>
            <sz val="10"/>
            <rFont val="Arial"/>
            <family val="2"/>
          </rPr>
          <t>For H2 production</t>
        </r>
      </text>
    </comment>
    <comment ref="E1" authorId="0" shapeId="0" xr:uid="{00000000-0006-0000-0600-000003000000}">
      <text>
        <r>
          <rPr>
            <sz val="10"/>
            <rFont val="Arial"/>
            <family val="2"/>
            <charset val="1"/>
          </rPr>
          <t>For H2 production</t>
        </r>
      </text>
    </comment>
    <comment ref="F1" authorId="0" shapeId="0" xr:uid="{00000000-0006-0000-0600-000004000000}">
      <text>
        <r>
          <rPr>
            <sz val="10"/>
            <rFont val="Arial"/>
            <family val="2"/>
            <charset val="1"/>
          </rPr>
          <t>For H2 production</t>
        </r>
      </text>
    </comment>
    <comment ref="H1" authorId="0" shapeId="0" xr:uid="{00000000-0006-0000-06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sharedStrings.xml><?xml version="1.0" encoding="utf-8"?>
<sst xmlns="http://schemas.openxmlformats.org/spreadsheetml/2006/main" count="235" uniqueCount="94">
  <si>
    <t>SubstrateName</t>
  </si>
  <si>
    <t>CellVoltage</t>
  </si>
  <si>
    <t>CurrentDensity</t>
  </si>
  <si>
    <t>FaradaicEfficiency</t>
  </si>
  <si>
    <t>EnergyEfficiency</t>
  </si>
  <si>
    <t>ByProducts</t>
  </si>
  <si>
    <t>ByP_FE</t>
  </si>
  <si>
    <t>Xco2</t>
  </si>
  <si>
    <t>ScalingFactor</t>
  </si>
  <si>
    <t>Source</t>
  </si>
  <si>
    <t>AceticAcid</t>
  </si>
  <si>
    <t>Formate</t>
  </si>
  <si>
    <t>Zha (2019)</t>
  </si>
  <si>
    <t>EthyleneGlycol</t>
  </si>
  <si>
    <t>Hydrogen</t>
  </si>
  <si>
    <t>Tamura (2015)</t>
  </si>
  <si>
    <t>Ethanol</t>
  </si>
  <si>
    <t>Ethylene,  Hydrogen, Acetate, Methane</t>
  </si>
  <si>
    <t>34, 16, 4, 3</t>
  </si>
  <si>
    <t>Luo (2019)</t>
  </si>
  <si>
    <t>FormicAcid</t>
  </si>
  <si>
    <t>CO</t>
  </si>
  <si>
    <t>Li (2006), DeLuna (2019)</t>
  </si>
  <si>
    <t>Methanol</t>
  </si>
  <si>
    <t>Formate, CO</t>
  </si>
  <si>
    <t>20, 2.4</t>
  </si>
  <si>
    <t>Yang (2019)</t>
  </si>
  <si>
    <t>CarbonMonoxide</t>
  </si>
  <si>
    <t>None</t>
  </si>
  <si>
    <t>Ma (2016)</t>
  </si>
  <si>
    <t>Acetaldehyde</t>
  </si>
  <si>
    <t>FormicAcid/CO</t>
  </si>
  <si>
    <t>Glycolaldehyde</t>
  </si>
  <si>
    <t>CarbonMonoxide_0.5</t>
  </si>
  <si>
    <t>CarbonMonoxide_1</t>
  </si>
  <si>
    <t>CarbonMonoxide_2</t>
  </si>
  <si>
    <t>FormicAcid_0.5</t>
  </si>
  <si>
    <t>FormicAcid_1</t>
  </si>
  <si>
    <t>FormicAcid_2</t>
  </si>
  <si>
    <t>Process</t>
  </si>
  <si>
    <t>Phase</t>
  </si>
  <si>
    <t>Operating Cost (kWh/m3)</t>
  </si>
  <si>
    <t>Operating Cost ($/day)</t>
  </si>
  <si>
    <t>Reference Capital Cost ($)</t>
  </si>
  <si>
    <t>Reference Capacity (m3/h)</t>
  </si>
  <si>
    <t>Reference Capacity (L/min)</t>
  </si>
  <si>
    <t>Capacity Scaling Factor</t>
  </si>
  <si>
    <t>Notes</t>
  </si>
  <si>
    <t>PSA</t>
  </si>
  <si>
    <t>GAS</t>
  </si>
  <si>
    <t>Jouny, M., Luc, W. &amp; Jiao, F. General Techno-Economic Analysis of CO2 Electrolysis Systems. Industrial &amp; Engineering Chemistry Research 57, 2165–2177 (2018).</t>
  </si>
  <si>
    <t>Distillation</t>
  </si>
  <si>
    <t>LIQUID</t>
  </si>
  <si>
    <t>SubstrateType</t>
  </si>
  <si>
    <t>Formula</t>
  </si>
  <si>
    <t>C_n</t>
  </si>
  <si>
    <t>H_n</t>
  </si>
  <si>
    <t>O_n</t>
  </si>
  <si>
    <t>MW_S</t>
  </si>
  <si>
    <t>N_electrons</t>
  </si>
  <si>
    <t>Pure</t>
  </si>
  <si>
    <t>C2H4O</t>
  </si>
  <si>
    <t>CH3COOH</t>
  </si>
  <si>
    <t>C2H5OH</t>
  </si>
  <si>
    <t>(CH2OH)2</t>
  </si>
  <si>
    <t>CHOOH</t>
  </si>
  <si>
    <t>C2H4O2</t>
  </si>
  <si>
    <t>CH3OH</t>
  </si>
  <si>
    <t>Methane</t>
  </si>
  <si>
    <t>CH4</t>
  </si>
  <si>
    <t>Ethylene</t>
  </si>
  <si>
    <t>C2H4</t>
  </si>
  <si>
    <t>H2</t>
  </si>
  <si>
    <t>Mix</t>
  </si>
  <si>
    <t>Parameters</t>
  </si>
  <si>
    <t>ElectricityPrice</t>
  </si>
  <si>
    <t>CO2Price</t>
  </si>
  <si>
    <t>CarbonTax</t>
  </si>
  <si>
    <t>Conversion</t>
  </si>
  <si>
    <t>ElectrolyzerPrice</t>
  </si>
  <si>
    <t>Units</t>
  </si>
  <si>
    <t>$ CA/kWh</t>
  </si>
  <si>
    <t>$/tonne</t>
  </si>
  <si>
    <t>%</t>
  </si>
  <si>
    <t>$/m^2</t>
  </si>
  <si>
    <t>mA/cm^2</t>
  </si>
  <si>
    <t>V</t>
  </si>
  <si>
    <t>Worst</t>
  </si>
  <si>
    <t>Base</t>
  </si>
  <si>
    <t>Best</t>
  </si>
  <si>
    <t>H2Ratio</t>
  </si>
  <si>
    <t>Case</t>
  </si>
  <si>
    <t>CarbonDioxide_4</t>
  </si>
  <si>
    <t>No byproducts accounted in analysis, but FE &lt;100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</si>
</sst>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b/>
      <sz val="10"/>
      <name val="Arial"/>
      <family val="2"/>
      <charset val="1"/>
    </font>
    <font>
      <sz val="11"/>
      <name val="arial"/>
      <family val="2"/>
      <charset val="1"/>
    </font>
    <font>
      <sz val="10"/>
      <name val="arial"/>
      <family val="2"/>
      <charset val="1"/>
    </font>
    <font>
      <sz val="10"/>
      <name val="Arial"/>
      <family val="2"/>
    </font>
    <font>
      <sz val="10"/>
      <color rgb="FF00000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698500</xdr:colOff>
      <xdr:row>76</xdr:row>
      <xdr:rowOff>152400</xdr:rowOff>
    </xdr:to>
    <xdr:sp macro="" textlink="">
      <xdr:nvSpPr>
        <xdr:cNvPr id="1026" name="shapetype_202" hidden="1">
          <a:extLst>
            <a:ext uri="{FF2B5EF4-FFF2-40B4-BE49-F238E27FC236}">
              <a16:creationId xmlns:a16="http://schemas.microsoft.com/office/drawing/2014/main" id="{A1CA0107-98B9-6941-8750-8D1EAAD1E4D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2058" name="shapetype_202" hidden="1">
          <a:extLst>
            <a:ext uri="{FF2B5EF4-FFF2-40B4-BE49-F238E27FC236}">
              <a16:creationId xmlns:a16="http://schemas.microsoft.com/office/drawing/2014/main" id="{9732EC7F-3A2B-4148-AAF7-399A05F43EC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6" name="shapetype_202" hidden="1">
          <a:extLst>
            <a:ext uri="{FF2B5EF4-FFF2-40B4-BE49-F238E27FC236}">
              <a16:creationId xmlns:a16="http://schemas.microsoft.com/office/drawing/2014/main" id="{6E129785-5C5D-7647-BDEE-B94F98A66A2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4" name="shapetype_202" hidden="1">
          <a:extLst>
            <a:ext uri="{FF2B5EF4-FFF2-40B4-BE49-F238E27FC236}">
              <a16:creationId xmlns:a16="http://schemas.microsoft.com/office/drawing/2014/main" id="{A02D21E4-EFC1-B24E-BC17-F50BBD366C2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2" name="shapetype_202" hidden="1">
          <a:extLst>
            <a:ext uri="{FF2B5EF4-FFF2-40B4-BE49-F238E27FC236}">
              <a16:creationId xmlns:a16="http://schemas.microsoft.com/office/drawing/2014/main" id="{63BF5DCA-5065-C747-B1A8-67C7D03785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0" name="shapetype_202" hidden="1">
          <a:extLst>
            <a:ext uri="{FF2B5EF4-FFF2-40B4-BE49-F238E27FC236}">
              <a16:creationId xmlns:a16="http://schemas.microsoft.com/office/drawing/2014/main" id="{DC79103D-CB19-9149-86B5-144F489FBB9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3082" name="shapetype_202" hidden="1">
          <a:extLst>
            <a:ext uri="{FF2B5EF4-FFF2-40B4-BE49-F238E27FC236}">
              <a16:creationId xmlns:a16="http://schemas.microsoft.com/office/drawing/2014/main" id="{BF3CE635-2EE9-484B-A359-309D7551CF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80" name="shapetype_202" hidden="1">
          <a:extLst>
            <a:ext uri="{FF2B5EF4-FFF2-40B4-BE49-F238E27FC236}">
              <a16:creationId xmlns:a16="http://schemas.microsoft.com/office/drawing/2014/main" id="{B638F2F0-75A4-1E47-9A15-C3945D48D6D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8" name="shapetype_202" hidden="1">
          <a:extLst>
            <a:ext uri="{FF2B5EF4-FFF2-40B4-BE49-F238E27FC236}">
              <a16:creationId xmlns:a16="http://schemas.microsoft.com/office/drawing/2014/main" id="{78CA496B-EEE2-2047-AAC4-0389198440F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6" name="shapetype_202" hidden="1">
          <a:extLst>
            <a:ext uri="{FF2B5EF4-FFF2-40B4-BE49-F238E27FC236}">
              <a16:creationId xmlns:a16="http://schemas.microsoft.com/office/drawing/2014/main" id="{97503B1B-AF28-9F45-A35F-7928ACDD1B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4" name="shapetype_202" hidden="1">
          <a:extLst>
            <a:ext uri="{FF2B5EF4-FFF2-40B4-BE49-F238E27FC236}">
              <a16:creationId xmlns:a16="http://schemas.microsoft.com/office/drawing/2014/main" id="{668A237C-A18D-FE40-AEB9-216D54D142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520700</xdr:colOff>
      <xdr:row>76</xdr:row>
      <xdr:rowOff>152400</xdr:rowOff>
    </xdr:to>
    <xdr:sp macro="" textlink="">
      <xdr:nvSpPr>
        <xdr:cNvPr id="5122" name="shapetype_202" hidden="1">
          <a:extLst>
            <a:ext uri="{FF2B5EF4-FFF2-40B4-BE49-F238E27FC236}">
              <a16:creationId xmlns:a16="http://schemas.microsoft.com/office/drawing/2014/main" id="{80148368-6132-7044-91BA-97339FFE23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431800</xdr:colOff>
      <xdr:row>76</xdr:row>
      <xdr:rowOff>152400</xdr:rowOff>
    </xdr:to>
    <xdr:sp macro="" textlink="">
      <xdr:nvSpPr>
        <xdr:cNvPr id="6154" name="shapetype_202" hidden="1">
          <a:extLst>
            <a:ext uri="{FF2B5EF4-FFF2-40B4-BE49-F238E27FC236}">
              <a16:creationId xmlns:a16="http://schemas.microsoft.com/office/drawing/2014/main" id="{B0479C30-60B6-6D46-8751-50B2432C74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2" name="shapetype_202" hidden="1">
          <a:extLst>
            <a:ext uri="{FF2B5EF4-FFF2-40B4-BE49-F238E27FC236}">
              <a16:creationId xmlns:a16="http://schemas.microsoft.com/office/drawing/2014/main" id="{FF3D4D93-ADA9-6B43-8919-30285C7BA6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0" name="shapetype_202" hidden="1">
          <a:extLst>
            <a:ext uri="{FF2B5EF4-FFF2-40B4-BE49-F238E27FC236}">
              <a16:creationId xmlns:a16="http://schemas.microsoft.com/office/drawing/2014/main" id="{D447DE82-0C4C-094E-A1C0-F165EDC76DF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8" name="shapetype_202" hidden="1">
          <a:extLst>
            <a:ext uri="{FF2B5EF4-FFF2-40B4-BE49-F238E27FC236}">
              <a16:creationId xmlns:a16="http://schemas.microsoft.com/office/drawing/2014/main" id="{B21D57AD-012D-A444-B554-928169055E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6" name="shapetype_202" hidden="1">
          <a:extLst>
            <a:ext uri="{FF2B5EF4-FFF2-40B4-BE49-F238E27FC236}">
              <a16:creationId xmlns:a16="http://schemas.microsoft.com/office/drawing/2014/main" id="{ED2EFCB3-77EA-8144-BDE8-C5564BD13EA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zoomScaleNormal="100" workbookViewId="0">
      <selection activeCell="D14" sqref="D14"/>
    </sheetView>
  </sheetViews>
  <sheetFormatPr defaultColWidth="8.7109375" defaultRowHeight="13.15"/>
  <cols>
    <col min="1" max="1" width="27.7109375" customWidth="1"/>
    <col min="2" max="2" width="11.42578125"/>
    <col min="3" max="3" width="14.7109375" customWidth="1"/>
    <col min="4" max="4" width="18.7109375" customWidth="1"/>
    <col min="5" max="5" width="17.7109375" customWidth="1"/>
    <col min="6" max="6" width="36" customWidth="1"/>
    <col min="7" max="8" width="15.42578125" style="1" customWidth="1"/>
    <col min="9" max="9" width="15.42578125" customWidth="1"/>
    <col min="10" max="1025" width="11.42578125"/>
  </cols>
  <sheetData>
    <row r="1" spans="1:10">
      <c r="A1" s="2" t="s">
        <v>0</v>
      </c>
      <c r="B1" s="2" t="s">
        <v>1</v>
      </c>
      <c r="C1" s="2" t="s">
        <v>2</v>
      </c>
      <c r="D1" s="2" t="s">
        <v>3</v>
      </c>
      <c r="E1" s="2" t="s">
        <v>4</v>
      </c>
      <c r="F1" s="2" t="s">
        <v>5</v>
      </c>
      <c r="G1" s="3" t="s">
        <v>6</v>
      </c>
      <c r="H1" s="3" t="s">
        <v>7</v>
      </c>
      <c r="I1" s="3" t="s">
        <v>8</v>
      </c>
      <c r="J1" s="2" t="s">
        <v>9</v>
      </c>
    </row>
    <row r="2" spans="1:10">
      <c r="A2" t="s">
        <v>10</v>
      </c>
      <c r="B2" s="1">
        <v>1.94</v>
      </c>
      <c r="C2" s="1">
        <v>1.2</v>
      </c>
      <c r="D2" s="1">
        <v>96.5</v>
      </c>
      <c r="E2" s="1"/>
      <c r="F2" s="1" t="s">
        <v>11</v>
      </c>
      <c r="G2" s="1">
        <v>3.5</v>
      </c>
      <c r="H2" s="1">
        <f>((D2*Products!D3/Products!H3)+(G2*Products!D6/Products!H6))/100</f>
        <v>0.25874999999999998</v>
      </c>
      <c r="I2" s="1">
        <v>1</v>
      </c>
      <c r="J2" t="s">
        <v>12</v>
      </c>
    </row>
    <row r="3" spans="1:10">
      <c r="A3" t="s">
        <v>13</v>
      </c>
      <c r="B3" s="1">
        <v>1.81</v>
      </c>
      <c r="C3" s="1">
        <v>0.3</v>
      </c>
      <c r="D3" s="1">
        <v>87</v>
      </c>
      <c r="E3" s="1"/>
      <c r="F3" s="1" t="s">
        <v>14</v>
      </c>
      <c r="G3" s="1">
        <v>13</v>
      </c>
      <c r="H3" s="1">
        <f>((D3*Products!D5/Products!H5)+(G3*Products!D12/Products!H12))/100</f>
        <v>0.17399999999999999</v>
      </c>
      <c r="I3" s="1">
        <v>1</v>
      </c>
      <c r="J3" t="s">
        <v>15</v>
      </c>
    </row>
    <row r="4" spans="1:10">
      <c r="A4" t="s">
        <v>16</v>
      </c>
      <c r="B4" s="1">
        <f>1.23-(-0.7)</f>
        <v>1.93</v>
      </c>
      <c r="C4" s="1">
        <v>128</v>
      </c>
      <c r="D4" s="1">
        <v>43</v>
      </c>
      <c r="E4" s="1">
        <v>25</v>
      </c>
      <c r="F4" s="1" t="s">
        <v>17</v>
      </c>
      <c r="G4" s="1" t="s">
        <v>18</v>
      </c>
      <c r="H4" s="1">
        <f>((D4*Products!D4/Products!H4)+(34*Products!D10/Products!H10)+(16*Products!D12/Products!H12)+(4*Products!D3/Products!H3)+(3*Products!D9/Products!H9))/100</f>
        <v>0.14208333333333334</v>
      </c>
      <c r="I4" s="1">
        <v>1</v>
      </c>
      <c r="J4" t="s">
        <v>19</v>
      </c>
    </row>
    <row r="5" spans="1:10">
      <c r="A5" t="s">
        <v>20</v>
      </c>
      <c r="B5" s="1">
        <v>4.0999999999999996</v>
      </c>
      <c r="C5" s="1">
        <v>133</v>
      </c>
      <c r="D5" s="1">
        <v>86</v>
      </c>
      <c r="E5" s="1">
        <v>33</v>
      </c>
      <c r="F5" s="1" t="s">
        <v>21</v>
      </c>
      <c r="G5" s="1">
        <v>14</v>
      </c>
      <c r="H5" s="1">
        <f>((D5*Products!D6/Products!H6)+(G5*Products!D11/Products!H11))/100</f>
        <v>0.5</v>
      </c>
      <c r="I5" s="1">
        <v>1</v>
      </c>
      <c r="J5" t="s">
        <v>22</v>
      </c>
    </row>
    <row r="6" spans="1:10">
      <c r="A6" t="s">
        <v>23</v>
      </c>
      <c r="B6" s="1">
        <v>2.67</v>
      </c>
      <c r="C6" s="1">
        <v>41.5</v>
      </c>
      <c r="D6" s="1">
        <v>77.599999999999994</v>
      </c>
      <c r="E6" s="1">
        <v>61.7</v>
      </c>
      <c r="F6" s="1" t="s">
        <v>24</v>
      </c>
      <c r="G6" s="1" t="s">
        <v>25</v>
      </c>
      <c r="H6" s="1">
        <f>((D6*Products!D8/Products!H8)+(20*Products!D6/Products!H6)+(2.4*Products!D11/Products!H11))/100</f>
        <v>0.24133333333333329</v>
      </c>
      <c r="I6" s="1">
        <v>1</v>
      </c>
      <c r="J6" t="s">
        <v>26</v>
      </c>
    </row>
    <row r="7" spans="1:10">
      <c r="A7" t="s">
        <v>27</v>
      </c>
      <c r="B7" s="1">
        <v>3</v>
      </c>
      <c r="C7" s="1">
        <v>350</v>
      </c>
      <c r="D7" s="1">
        <v>100</v>
      </c>
      <c r="E7" s="1">
        <v>45.4</v>
      </c>
      <c r="F7" s="1" t="s">
        <v>28</v>
      </c>
      <c r="G7" s="1">
        <v>0</v>
      </c>
      <c r="H7" s="1">
        <f>(D7*Products!D11/Products!H11)/100</f>
        <v>0.5</v>
      </c>
      <c r="I7" s="1">
        <v>1</v>
      </c>
      <c r="J7" t="s">
        <v>29</v>
      </c>
    </row>
  </sheetData>
  <autoFilter ref="A1:J6" xr:uid="{00000000-0009-0000-0000-000000000000}"/>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zoomScaleNormal="100" workbookViewId="0">
      <selection activeCell="F25" sqref="F25"/>
    </sheetView>
  </sheetViews>
  <sheetFormatPr defaultColWidth="8.7109375" defaultRowHeight="13.15"/>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c r="A1" s="2" t="s">
        <v>0</v>
      </c>
      <c r="B1" s="2" t="s">
        <v>1</v>
      </c>
      <c r="C1" s="2" t="s">
        <v>2</v>
      </c>
      <c r="D1" s="3" t="s">
        <v>3</v>
      </c>
      <c r="E1" s="2" t="s">
        <v>4</v>
      </c>
      <c r="F1" s="3" t="s">
        <v>5</v>
      </c>
      <c r="G1" s="3" t="s">
        <v>6</v>
      </c>
      <c r="H1" s="3" t="s">
        <v>7</v>
      </c>
      <c r="I1" s="3" t="s">
        <v>8</v>
      </c>
    </row>
    <row r="2" spans="1:9">
      <c r="A2" t="s">
        <v>30</v>
      </c>
      <c r="B2" s="1">
        <v>3</v>
      </c>
      <c r="C2" s="1">
        <v>300</v>
      </c>
      <c r="D2" s="1">
        <v>80</v>
      </c>
      <c r="E2" s="1">
        <v>30</v>
      </c>
      <c r="F2" s="1" t="s">
        <v>31</v>
      </c>
      <c r="G2" s="1">
        <f t="shared" ref="G2:G15" si="0">100-D2</f>
        <v>20</v>
      </c>
      <c r="H2" s="1">
        <f>((D2*Products!D2/Products!H2)+(G2*Products!D6/Products!H6))/100</f>
        <v>0.26</v>
      </c>
      <c r="I2" s="1">
        <v>1</v>
      </c>
    </row>
    <row r="3" spans="1:9">
      <c r="A3" t="s">
        <v>10</v>
      </c>
      <c r="B3" s="1">
        <v>3</v>
      </c>
      <c r="C3" s="1">
        <v>300</v>
      </c>
      <c r="D3" s="1">
        <v>80</v>
      </c>
      <c r="E3" s="1">
        <v>30</v>
      </c>
      <c r="F3" s="1" t="s">
        <v>31</v>
      </c>
      <c r="G3" s="1">
        <f t="shared" si="0"/>
        <v>20</v>
      </c>
      <c r="H3" s="1">
        <f>((D3*Products!D3/Products!H3)+(G3*Products!D6/Products!H6))/100</f>
        <v>0.3</v>
      </c>
      <c r="I3" s="1">
        <v>1</v>
      </c>
    </row>
    <row r="4" spans="1:9">
      <c r="A4" t="s">
        <v>16</v>
      </c>
      <c r="B4" s="1">
        <v>3</v>
      </c>
      <c r="C4" s="1">
        <v>300</v>
      </c>
      <c r="D4" s="1">
        <v>80</v>
      </c>
      <c r="E4" s="1">
        <v>30</v>
      </c>
      <c r="F4" s="1" t="s">
        <v>31</v>
      </c>
      <c r="G4" s="1">
        <f t="shared" si="0"/>
        <v>20</v>
      </c>
      <c r="H4" s="1">
        <f>((D4*Products!D4/Products!H4)+(G4*Products!D6/Products!H6))/100</f>
        <v>0.23333333333333336</v>
      </c>
      <c r="I4" s="1">
        <v>1</v>
      </c>
    </row>
    <row r="5" spans="1:9">
      <c r="A5" t="s">
        <v>13</v>
      </c>
      <c r="B5" s="1">
        <v>3</v>
      </c>
      <c r="C5" s="1">
        <v>300</v>
      </c>
      <c r="D5" s="1">
        <v>80</v>
      </c>
      <c r="E5" s="1">
        <v>30</v>
      </c>
      <c r="F5" s="1" t="s">
        <v>31</v>
      </c>
      <c r="G5" s="1">
        <f t="shared" si="0"/>
        <v>20</v>
      </c>
      <c r="H5" s="1">
        <f>((D5*Products!D5/Products!H5)+(G5*Products!D6/Products!H6))/100</f>
        <v>0.26</v>
      </c>
      <c r="I5" s="1">
        <v>1</v>
      </c>
    </row>
    <row r="6" spans="1:9">
      <c r="A6" t="s">
        <v>20</v>
      </c>
      <c r="B6" s="1">
        <v>3</v>
      </c>
      <c r="C6" s="1">
        <v>300</v>
      </c>
      <c r="D6" s="1">
        <v>80</v>
      </c>
      <c r="E6" s="1">
        <v>30</v>
      </c>
      <c r="F6" s="1" t="s">
        <v>21</v>
      </c>
      <c r="G6" s="1">
        <f t="shared" si="0"/>
        <v>20</v>
      </c>
      <c r="H6" s="1">
        <f>((D6*Products!D6/Products!H6)+(G6*Products!D11/Products!H11))/100</f>
        <v>0.5</v>
      </c>
      <c r="I6" s="1">
        <v>1</v>
      </c>
    </row>
    <row r="7" spans="1:9">
      <c r="A7" t="s">
        <v>32</v>
      </c>
      <c r="B7" s="1">
        <v>3</v>
      </c>
      <c r="C7" s="1">
        <v>300</v>
      </c>
      <c r="D7" s="1">
        <v>80</v>
      </c>
      <c r="E7" s="1">
        <v>30</v>
      </c>
      <c r="F7" s="1" t="s">
        <v>31</v>
      </c>
      <c r="G7" s="1">
        <f t="shared" si="0"/>
        <v>20</v>
      </c>
      <c r="H7" s="1">
        <f>((D7*Products!D7/Products!H7)+(G7*Products!D6/Products!H6))/100</f>
        <v>0.3</v>
      </c>
      <c r="I7" s="1">
        <v>1</v>
      </c>
    </row>
    <row r="8" spans="1:9">
      <c r="A8" t="s">
        <v>23</v>
      </c>
      <c r="B8" s="1">
        <v>3</v>
      </c>
      <c r="C8" s="1">
        <v>300</v>
      </c>
      <c r="D8" s="1">
        <v>80</v>
      </c>
      <c r="E8" s="1">
        <v>30</v>
      </c>
      <c r="F8" s="1" t="s">
        <v>31</v>
      </c>
      <c r="G8" s="1">
        <f t="shared" si="0"/>
        <v>20</v>
      </c>
      <c r="H8" s="1">
        <f>((D8*Products!D9/Products!H9)+(G8*Products!D6/Products!H6))/100</f>
        <v>0.2</v>
      </c>
      <c r="I8" s="1">
        <v>1</v>
      </c>
    </row>
    <row r="9" spans="1:9">
      <c r="A9" t="s">
        <v>27</v>
      </c>
      <c r="B9" s="1">
        <v>3</v>
      </c>
      <c r="C9" s="1">
        <v>300</v>
      </c>
      <c r="D9" s="1">
        <v>80</v>
      </c>
      <c r="E9" s="1">
        <v>30</v>
      </c>
      <c r="F9" s="1" t="s">
        <v>20</v>
      </c>
      <c r="G9" s="1">
        <f t="shared" si="0"/>
        <v>20</v>
      </c>
      <c r="H9" s="1">
        <f>((D9*Products!$D$11/Products!$H$11)+(G9*Products!$D$6/Products!$H$6))/100</f>
        <v>0.5</v>
      </c>
      <c r="I9" s="1">
        <v>1</v>
      </c>
    </row>
    <row r="10" spans="1:9">
      <c r="A10" t="s">
        <v>33</v>
      </c>
      <c r="B10" s="1">
        <v>3</v>
      </c>
      <c r="C10" s="1">
        <v>300</v>
      </c>
      <c r="D10" s="1">
        <v>66.7</v>
      </c>
      <c r="E10" s="1">
        <v>30</v>
      </c>
      <c r="F10" s="1" t="s">
        <v>14</v>
      </c>
      <c r="G10" s="1">
        <f t="shared" si="0"/>
        <v>33.299999999999997</v>
      </c>
      <c r="H10" s="1">
        <f>((D10*Products!$D$11/Products!$H$11)+(G10*Products!$D$12/Products!$H$12))/100</f>
        <v>0.33350000000000002</v>
      </c>
      <c r="I10" s="1">
        <v>1</v>
      </c>
    </row>
    <row r="11" spans="1:9">
      <c r="A11" t="s">
        <v>34</v>
      </c>
      <c r="B11" s="1">
        <v>3</v>
      </c>
      <c r="C11" s="1">
        <v>300</v>
      </c>
      <c r="D11" s="1">
        <v>50</v>
      </c>
      <c r="E11" s="1">
        <v>30</v>
      </c>
      <c r="F11" s="1" t="s">
        <v>14</v>
      </c>
      <c r="G11" s="1">
        <f t="shared" si="0"/>
        <v>50</v>
      </c>
      <c r="H11" s="1">
        <f>((D11*Products!$D$11/Products!$H$11)+(G11*Products!$D$12/Products!$H$12))/100</f>
        <v>0.25</v>
      </c>
      <c r="I11" s="1">
        <v>1</v>
      </c>
    </row>
    <row r="12" spans="1:9">
      <c r="A12" t="s">
        <v>35</v>
      </c>
      <c r="B12" s="1">
        <v>3</v>
      </c>
      <c r="C12" s="1">
        <v>300</v>
      </c>
      <c r="D12" s="1">
        <v>33.299999999999997</v>
      </c>
      <c r="E12" s="1">
        <v>30</v>
      </c>
      <c r="F12" s="1" t="s">
        <v>14</v>
      </c>
      <c r="G12" s="1">
        <f t="shared" si="0"/>
        <v>66.7</v>
      </c>
      <c r="H12" s="1">
        <f>((D12*Products!$D$11/Products!$H$11)+(G12*Products!$D$12/Products!$H$12))/100</f>
        <v>0.16649999999999998</v>
      </c>
      <c r="I12" s="1">
        <v>1</v>
      </c>
    </row>
    <row r="13" spans="1:9">
      <c r="A13" t="s">
        <v>36</v>
      </c>
      <c r="B13" s="1">
        <v>3</v>
      </c>
      <c r="C13" s="1">
        <v>300</v>
      </c>
      <c r="D13" s="1">
        <v>66.599999999999994</v>
      </c>
      <c r="E13" s="1">
        <v>30</v>
      </c>
      <c r="F13" s="1" t="s">
        <v>14</v>
      </c>
      <c r="G13" s="1">
        <f t="shared" si="0"/>
        <v>33.400000000000006</v>
      </c>
      <c r="H13" s="1">
        <f>((D13*Products!$D$6/Products!$H$6)+(G13*Products!$D$12/Products!$H$12))/100</f>
        <v>0.33299999999999996</v>
      </c>
      <c r="I13" s="1">
        <v>1</v>
      </c>
    </row>
    <row r="14" spans="1:9">
      <c r="A14" t="s">
        <v>37</v>
      </c>
      <c r="B14" s="1">
        <v>3</v>
      </c>
      <c r="C14" s="1">
        <v>300</v>
      </c>
      <c r="D14" s="1">
        <v>50</v>
      </c>
      <c r="E14" s="1">
        <v>30</v>
      </c>
      <c r="F14" s="1" t="s">
        <v>14</v>
      </c>
      <c r="G14" s="1">
        <f t="shared" si="0"/>
        <v>50</v>
      </c>
      <c r="H14" s="1">
        <f>((D14*Products!$D$6/Products!$H$6)+(G14*Products!$D$12/Products!$H$12))/100</f>
        <v>0.25</v>
      </c>
      <c r="I14" s="1">
        <v>1</v>
      </c>
    </row>
    <row r="15" spans="1:9">
      <c r="A15" t="s">
        <v>38</v>
      </c>
      <c r="B15" s="1">
        <v>3</v>
      </c>
      <c r="C15" s="1">
        <v>300</v>
      </c>
      <c r="D15" s="1">
        <v>33.299999999999997</v>
      </c>
      <c r="E15" s="1">
        <v>30</v>
      </c>
      <c r="F15" s="1" t="s">
        <v>14</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zoomScaleNormal="100" workbookViewId="0">
      <selection activeCell="C1" sqref="C1"/>
    </sheetView>
  </sheetViews>
  <sheetFormatPr defaultColWidth="8.7109375" defaultRowHeight="13.15"/>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c r="A1" s="2" t="s">
        <v>0</v>
      </c>
      <c r="B1" s="2" t="s">
        <v>1</v>
      </c>
      <c r="C1" s="2" t="s">
        <v>2</v>
      </c>
      <c r="D1" s="3" t="s">
        <v>3</v>
      </c>
      <c r="E1" s="2" t="s">
        <v>4</v>
      </c>
      <c r="F1" s="3" t="s">
        <v>5</v>
      </c>
      <c r="G1" s="3" t="s">
        <v>6</v>
      </c>
      <c r="H1" s="3" t="s">
        <v>7</v>
      </c>
      <c r="I1" s="3" t="s">
        <v>8</v>
      </c>
    </row>
    <row r="2" spans="1:9">
      <c r="A2" t="s">
        <v>30</v>
      </c>
      <c r="B2" s="1">
        <v>2</v>
      </c>
      <c r="C2" s="1">
        <v>500</v>
      </c>
      <c r="D2" s="1">
        <v>90</v>
      </c>
      <c r="E2" s="1">
        <v>30</v>
      </c>
      <c r="F2" s="1" t="s">
        <v>31</v>
      </c>
      <c r="G2" s="1">
        <f t="shared" ref="G2:G15" si="0">100-D2</f>
        <v>10</v>
      </c>
      <c r="H2" s="1">
        <f>((D2*Products!D2/Products!H2)+(G2*Products!D6/Products!H6))/100</f>
        <v>0.23</v>
      </c>
      <c r="I2" s="1">
        <v>1</v>
      </c>
    </row>
    <row r="3" spans="1:9">
      <c r="A3" t="s">
        <v>10</v>
      </c>
      <c r="B3" s="1">
        <v>2</v>
      </c>
      <c r="C3" s="1">
        <v>500</v>
      </c>
      <c r="D3" s="1">
        <v>90</v>
      </c>
      <c r="E3" s="1">
        <v>30</v>
      </c>
      <c r="F3" s="1" t="s">
        <v>31</v>
      </c>
      <c r="G3" s="1">
        <f t="shared" si="0"/>
        <v>10</v>
      </c>
      <c r="H3" s="1">
        <f>((D3*Products!D3/Products!H3)+(G3*Products!D6/Products!H6))/100</f>
        <v>0.27500000000000002</v>
      </c>
      <c r="I3" s="1">
        <v>1</v>
      </c>
    </row>
    <row r="4" spans="1:9">
      <c r="A4" t="s">
        <v>16</v>
      </c>
      <c r="B4" s="1">
        <v>2</v>
      </c>
      <c r="C4" s="1">
        <v>500</v>
      </c>
      <c r="D4" s="1">
        <v>90</v>
      </c>
      <c r="E4" s="1">
        <v>30</v>
      </c>
      <c r="F4" s="1" t="s">
        <v>31</v>
      </c>
      <c r="G4" s="1">
        <f t="shared" si="0"/>
        <v>10</v>
      </c>
      <c r="H4" s="1">
        <f>((D4*Products!D4/Products!H4)+(G4*Products!D6/Products!H6))/100</f>
        <v>0.2</v>
      </c>
      <c r="I4" s="1">
        <v>1</v>
      </c>
    </row>
    <row r="5" spans="1:9">
      <c r="A5" t="s">
        <v>13</v>
      </c>
      <c r="B5" s="1">
        <v>2</v>
      </c>
      <c r="C5" s="1">
        <v>500</v>
      </c>
      <c r="D5" s="1">
        <v>90</v>
      </c>
      <c r="E5" s="1">
        <v>30</v>
      </c>
      <c r="F5" s="1" t="s">
        <v>31</v>
      </c>
      <c r="G5" s="1">
        <f t="shared" si="0"/>
        <v>10</v>
      </c>
      <c r="H5" s="1">
        <f>((D5*Products!D5/Products!H5)+(G5*Products!D6/Products!H6))/100</f>
        <v>0.23</v>
      </c>
      <c r="I5" s="1">
        <v>1</v>
      </c>
    </row>
    <row r="6" spans="1:9">
      <c r="A6" t="s">
        <v>20</v>
      </c>
      <c r="B6" s="1">
        <v>2</v>
      </c>
      <c r="C6" s="1">
        <v>500</v>
      </c>
      <c r="D6" s="1">
        <v>90</v>
      </c>
      <c r="E6" s="1">
        <v>30</v>
      </c>
      <c r="F6" s="1" t="s">
        <v>21</v>
      </c>
      <c r="G6" s="1">
        <f t="shared" si="0"/>
        <v>10</v>
      </c>
      <c r="H6" s="1">
        <f>((D6*Products!D6/Products!H6)+(G6*Products!D11/Products!H11))/100</f>
        <v>0.5</v>
      </c>
      <c r="I6" s="1">
        <v>1</v>
      </c>
    </row>
    <row r="7" spans="1:9">
      <c r="A7" t="s">
        <v>32</v>
      </c>
      <c r="B7" s="1">
        <v>2</v>
      </c>
      <c r="C7" s="1">
        <v>500</v>
      </c>
      <c r="D7" s="1">
        <v>90</v>
      </c>
      <c r="E7" s="1">
        <v>30</v>
      </c>
      <c r="F7" s="1" t="s">
        <v>31</v>
      </c>
      <c r="G7" s="1">
        <f t="shared" si="0"/>
        <v>10</v>
      </c>
      <c r="H7" s="1">
        <f>((D7*Products!D7/Products!H7)+(G7*Products!D6/Products!H6))/100</f>
        <v>0.27500000000000002</v>
      </c>
      <c r="I7" s="1">
        <v>1</v>
      </c>
    </row>
    <row r="8" spans="1:9">
      <c r="A8" t="s">
        <v>23</v>
      </c>
      <c r="B8" s="1">
        <v>2</v>
      </c>
      <c r="C8" s="1">
        <v>500</v>
      </c>
      <c r="D8" s="1">
        <v>90</v>
      </c>
      <c r="E8" s="1">
        <v>30</v>
      </c>
      <c r="F8" s="1" t="s">
        <v>31</v>
      </c>
      <c r="G8" s="1">
        <f t="shared" si="0"/>
        <v>10</v>
      </c>
      <c r="H8" s="1">
        <f>((D8*Products!D9/Products!H9)+(G8*Products!D6/Products!H6))/100</f>
        <v>0.16250000000000001</v>
      </c>
      <c r="I8" s="1">
        <v>1</v>
      </c>
    </row>
    <row r="9" spans="1:9">
      <c r="A9" t="s">
        <v>27</v>
      </c>
      <c r="B9" s="1">
        <v>2</v>
      </c>
      <c r="C9" s="1">
        <v>500</v>
      </c>
      <c r="D9" s="1">
        <v>90</v>
      </c>
      <c r="E9" s="1">
        <v>30</v>
      </c>
      <c r="F9" s="1" t="s">
        <v>20</v>
      </c>
      <c r="G9" s="1">
        <f t="shared" si="0"/>
        <v>10</v>
      </c>
      <c r="H9" s="1">
        <f>((D9*Products!$D$11/Products!$H$11)+(G9*Products!$D$6/Products!$H$6))/100</f>
        <v>0.5</v>
      </c>
      <c r="I9" s="1">
        <v>1</v>
      </c>
    </row>
    <row r="10" spans="1:9">
      <c r="A10" t="s">
        <v>33</v>
      </c>
      <c r="B10" s="1">
        <v>2</v>
      </c>
      <c r="C10" s="1">
        <v>500</v>
      </c>
      <c r="D10" s="1">
        <v>66.7</v>
      </c>
      <c r="E10" s="1">
        <v>30</v>
      </c>
      <c r="F10" s="1" t="s">
        <v>14</v>
      </c>
      <c r="G10" s="1">
        <f t="shared" si="0"/>
        <v>33.299999999999997</v>
      </c>
      <c r="H10" s="1">
        <f>((D10*Products!$D$11/Products!$H$11)+(G10*Products!$D$12/Products!$H$12))/100</f>
        <v>0.33350000000000002</v>
      </c>
      <c r="I10" s="1">
        <v>1</v>
      </c>
    </row>
    <row r="11" spans="1:9">
      <c r="A11" t="s">
        <v>34</v>
      </c>
      <c r="B11" s="1">
        <v>2</v>
      </c>
      <c r="C11" s="1">
        <v>500</v>
      </c>
      <c r="D11" s="1">
        <v>50</v>
      </c>
      <c r="E11" s="1">
        <v>30</v>
      </c>
      <c r="F11" s="1" t="s">
        <v>14</v>
      </c>
      <c r="G11" s="1">
        <f t="shared" si="0"/>
        <v>50</v>
      </c>
      <c r="H11" s="1">
        <f>((D11*Products!$D$11/Products!$H$11)+(G11*Products!$D$12/Products!$H$12))/100</f>
        <v>0.25</v>
      </c>
      <c r="I11" s="1">
        <v>1</v>
      </c>
    </row>
    <row r="12" spans="1:9">
      <c r="A12" t="s">
        <v>35</v>
      </c>
      <c r="B12" s="1">
        <v>2</v>
      </c>
      <c r="C12" s="1">
        <v>500</v>
      </c>
      <c r="D12" s="1">
        <v>33.299999999999997</v>
      </c>
      <c r="E12" s="1">
        <v>30</v>
      </c>
      <c r="F12" s="1" t="s">
        <v>14</v>
      </c>
      <c r="G12" s="1">
        <f t="shared" si="0"/>
        <v>66.7</v>
      </c>
      <c r="H12" s="1">
        <f>((D12*Products!$D$11/Products!$H$11)+(G12*Products!$D$12/Products!$H$12))/100</f>
        <v>0.16649999999999998</v>
      </c>
      <c r="I12" s="1">
        <v>1</v>
      </c>
    </row>
    <row r="13" spans="1:9">
      <c r="A13" t="s">
        <v>36</v>
      </c>
      <c r="B13" s="1">
        <v>2</v>
      </c>
      <c r="C13" s="1">
        <v>500</v>
      </c>
      <c r="D13" s="1">
        <v>66.599999999999994</v>
      </c>
      <c r="E13" s="1">
        <v>30</v>
      </c>
      <c r="F13" s="1" t="s">
        <v>14</v>
      </c>
      <c r="G13" s="1">
        <f t="shared" si="0"/>
        <v>33.400000000000006</v>
      </c>
      <c r="H13" s="1">
        <f>((D13*Products!$D$6/Products!$H$6)+(G13*Products!$D$12/Products!$H$12))/100</f>
        <v>0.33299999999999996</v>
      </c>
      <c r="I13" s="1">
        <v>1</v>
      </c>
    </row>
    <row r="14" spans="1:9">
      <c r="A14" t="s">
        <v>37</v>
      </c>
      <c r="B14" s="1">
        <v>2</v>
      </c>
      <c r="C14" s="1">
        <v>500</v>
      </c>
      <c r="D14" s="1">
        <v>50</v>
      </c>
      <c r="E14" s="1">
        <v>30</v>
      </c>
      <c r="F14" s="1" t="s">
        <v>14</v>
      </c>
      <c r="G14" s="1">
        <f t="shared" si="0"/>
        <v>50</v>
      </c>
      <c r="H14" s="1">
        <f>((D14*Products!$D$6/Products!$H$6)+(G14*Products!$D$12/Products!$H$12))/100</f>
        <v>0.25</v>
      </c>
      <c r="I14" s="1">
        <v>1</v>
      </c>
    </row>
    <row r="15" spans="1:9">
      <c r="A15" t="s">
        <v>38</v>
      </c>
      <c r="B15" s="1">
        <v>2</v>
      </c>
      <c r="C15" s="1">
        <v>500</v>
      </c>
      <c r="D15" s="1">
        <v>33.299999999999997</v>
      </c>
      <c r="E15" s="1">
        <v>30</v>
      </c>
      <c r="F15" s="1" t="s">
        <v>14</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8CE6-ED14-AF49-8682-DB4995B8A39C}">
  <dimension ref="A1:I3"/>
  <sheetViews>
    <sheetView workbookViewId="0">
      <selection activeCell="I11" sqref="I11"/>
    </sheetView>
  </sheetViews>
  <sheetFormatPr defaultColWidth="11.5703125" defaultRowHeight="13.15"/>
  <sheetData>
    <row r="1" spans="1:9" s="8" customFormat="1" ht="49.9" customHeight="1">
      <c r="A1" s="8" t="s">
        <v>39</v>
      </c>
      <c r="B1" s="8" t="s">
        <v>40</v>
      </c>
      <c r="C1" s="8" t="s">
        <v>41</v>
      </c>
      <c r="D1" s="8" t="s">
        <v>42</v>
      </c>
      <c r="E1" s="8" t="s">
        <v>43</v>
      </c>
      <c r="F1" s="8" t="s">
        <v>44</v>
      </c>
      <c r="G1" s="8" t="s">
        <v>45</v>
      </c>
      <c r="H1" s="8" t="s">
        <v>46</v>
      </c>
      <c r="I1" s="8" t="s">
        <v>47</v>
      </c>
    </row>
    <row r="2" spans="1:9">
      <c r="A2" s="9" t="s">
        <v>48</v>
      </c>
      <c r="B2" s="9" t="s">
        <v>49</v>
      </c>
      <c r="C2" s="9">
        <v>0.25</v>
      </c>
      <c r="D2" s="9"/>
      <c r="E2" s="9">
        <v>1989043</v>
      </c>
      <c r="F2" s="9">
        <v>1000</v>
      </c>
      <c r="G2" s="9"/>
      <c r="H2" s="9">
        <v>0.7</v>
      </c>
      <c r="I2" s="9" t="s">
        <v>50</v>
      </c>
    </row>
    <row r="3" spans="1:9">
      <c r="A3" s="9" t="s">
        <v>51</v>
      </c>
      <c r="B3" s="9" t="s">
        <v>52</v>
      </c>
      <c r="C3" s="9"/>
      <c r="D3" s="9">
        <f>5610420/365/0.9</f>
        <v>17078.904109589039</v>
      </c>
      <c r="E3" s="9">
        <v>4687910</v>
      </c>
      <c r="F3" s="9"/>
      <c r="G3" s="9">
        <v>1000</v>
      </c>
      <c r="H3" s="9">
        <v>0.7</v>
      </c>
      <c r="I3" s="9" t="s">
        <v>50</v>
      </c>
    </row>
  </sheetData>
  <dataValidations count="1">
    <dataValidation type="list" allowBlank="1" showInputMessage="1" showErrorMessage="1" sqref="B2:B3" xr:uid="{713B440C-EC2D-6347-A5DB-BB0071D3FFEF}">
      <formula1>"GAS, LIQUID"</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8"/>
  <sheetViews>
    <sheetView zoomScaleNormal="100" workbookViewId="0">
      <selection activeCell="H2" sqref="H2"/>
    </sheetView>
  </sheetViews>
  <sheetFormatPr defaultColWidth="8.7109375" defaultRowHeight="13.15"/>
  <cols>
    <col min="1" max="1" width="17.7109375" customWidth="1"/>
    <col min="2" max="2" width="16.7109375" customWidth="1"/>
    <col min="3" max="3" width="11.42578125"/>
    <col min="4" max="4" width="11.42578125" style="1"/>
    <col min="5" max="1025" width="11.42578125"/>
  </cols>
  <sheetData>
    <row r="1" spans="1:8">
      <c r="A1" s="3" t="s">
        <v>0</v>
      </c>
      <c r="B1" s="3" t="s">
        <v>53</v>
      </c>
      <c r="C1" s="3" t="s">
        <v>54</v>
      </c>
      <c r="D1" s="3" t="s">
        <v>55</v>
      </c>
      <c r="E1" s="3" t="s">
        <v>56</v>
      </c>
      <c r="F1" s="3" t="s">
        <v>57</v>
      </c>
      <c r="G1" s="3" t="s">
        <v>58</v>
      </c>
      <c r="H1" s="3" t="s">
        <v>59</v>
      </c>
    </row>
    <row r="2" spans="1:8" ht="13.9">
      <c r="A2" t="s">
        <v>30</v>
      </c>
      <c r="B2" t="s">
        <v>60</v>
      </c>
      <c r="C2" s="1" t="s">
        <v>61</v>
      </c>
      <c r="D2" s="1">
        <v>2</v>
      </c>
      <c r="E2" s="1">
        <v>4</v>
      </c>
      <c r="F2" s="1">
        <v>1</v>
      </c>
      <c r="G2" s="1">
        <f t="shared" ref="G2:G18" si="0">D2*12.0107+E2*1.00784+F2*15.999</f>
        <v>44.051760000000002</v>
      </c>
      <c r="H2" s="4">
        <v>10</v>
      </c>
    </row>
    <row r="3" spans="1:8" ht="13.9">
      <c r="A3" t="s">
        <v>10</v>
      </c>
      <c r="B3" t="s">
        <v>60</v>
      </c>
      <c r="C3" s="5" t="s">
        <v>62</v>
      </c>
      <c r="D3" s="1">
        <v>2</v>
      </c>
      <c r="E3" s="1">
        <v>4</v>
      </c>
      <c r="F3" s="1">
        <v>2</v>
      </c>
      <c r="G3" s="1">
        <f t="shared" si="0"/>
        <v>60.050759999999997</v>
      </c>
      <c r="H3" s="4">
        <v>8</v>
      </c>
    </row>
    <row r="4" spans="1:8" ht="13.9">
      <c r="A4" t="s">
        <v>16</v>
      </c>
      <c r="B4" t="s">
        <v>60</v>
      </c>
      <c r="C4" s="5" t="s">
        <v>63</v>
      </c>
      <c r="D4" s="1">
        <v>2</v>
      </c>
      <c r="E4" s="1">
        <v>6</v>
      </c>
      <c r="F4" s="1">
        <v>1</v>
      </c>
      <c r="G4" s="1">
        <f t="shared" si="0"/>
        <v>46.067440000000005</v>
      </c>
      <c r="H4" s="4">
        <v>12</v>
      </c>
    </row>
    <row r="5" spans="1:8" ht="13.9">
      <c r="A5" t="s">
        <v>13</v>
      </c>
      <c r="B5" t="s">
        <v>60</v>
      </c>
      <c r="C5" s="5" t="s">
        <v>64</v>
      </c>
      <c r="D5" s="1">
        <v>2</v>
      </c>
      <c r="E5" s="1">
        <v>6</v>
      </c>
      <c r="F5" s="1">
        <v>2</v>
      </c>
      <c r="G5" s="1">
        <f t="shared" si="0"/>
        <v>62.06644</v>
      </c>
      <c r="H5" s="4">
        <v>10</v>
      </c>
    </row>
    <row r="6" spans="1:8" ht="13.9">
      <c r="A6" t="s">
        <v>20</v>
      </c>
      <c r="B6" t="s">
        <v>60</v>
      </c>
      <c r="C6" s="1" t="s">
        <v>65</v>
      </c>
      <c r="D6" s="1">
        <v>1</v>
      </c>
      <c r="E6" s="1">
        <v>1</v>
      </c>
      <c r="F6" s="1">
        <v>2</v>
      </c>
      <c r="G6" s="1">
        <f t="shared" si="0"/>
        <v>45.016539999999999</v>
      </c>
      <c r="H6" s="4">
        <v>2</v>
      </c>
    </row>
    <row r="7" spans="1:8" ht="13.9">
      <c r="A7" t="s">
        <v>32</v>
      </c>
      <c r="B7" t="s">
        <v>60</v>
      </c>
      <c r="C7" s="1" t="s">
        <v>66</v>
      </c>
      <c r="D7" s="1">
        <v>2</v>
      </c>
      <c r="E7" s="1">
        <v>4</v>
      </c>
      <c r="F7" s="1">
        <v>2</v>
      </c>
      <c r="G7" s="1">
        <f t="shared" si="0"/>
        <v>60.050759999999997</v>
      </c>
      <c r="H7" s="4">
        <v>8</v>
      </c>
    </row>
    <row r="8" spans="1:8" ht="13.9">
      <c r="A8" t="s">
        <v>23</v>
      </c>
      <c r="B8" t="s">
        <v>60</v>
      </c>
      <c r="C8" s="5" t="s">
        <v>67</v>
      </c>
      <c r="D8" s="1">
        <v>1</v>
      </c>
      <c r="E8" s="1">
        <v>4</v>
      </c>
      <c r="F8" s="1">
        <v>1</v>
      </c>
      <c r="G8" s="1">
        <f t="shared" si="0"/>
        <v>32.041060000000002</v>
      </c>
      <c r="H8" s="4">
        <v>6</v>
      </c>
    </row>
    <row r="9" spans="1:8">
      <c r="A9" t="s">
        <v>68</v>
      </c>
      <c r="B9" t="s">
        <v>60</v>
      </c>
      <c r="C9" s="1" t="s">
        <v>69</v>
      </c>
      <c r="D9" s="1">
        <v>1</v>
      </c>
      <c r="E9" s="1">
        <v>4</v>
      </c>
      <c r="F9" s="1">
        <v>0</v>
      </c>
      <c r="G9" s="1">
        <f t="shared" si="0"/>
        <v>16.042059999999999</v>
      </c>
      <c r="H9" s="1">
        <v>8</v>
      </c>
    </row>
    <row r="10" spans="1:8">
      <c r="A10" t="s">
        <v>70</v>
      </c>
      <c r="B10" t="s">
        <v>60</v>
      </c>
      <c r="C10" s="1" t="s">
        <v>71</v>
      </c>
      <c r="D10" s="1">
        <v>2</v>
      </c>
      <c r="E10" s="1">
        <v>4</v>
      </c>
      <c r="F10" s="1">
        <v>0</v>
      </c>
      <c r="G10" s="1">
        <f t="shared" si="0"/>
        <v>28.052759999999999</v>
      </c>
      <c r="H10" s="1">
        <v>12</v>
      </c>
    </row>
    <row r="11" spans="1:8">
      <c r="A11" t="s">
        <v>27</v>
      </c>
      <c r="B11" t="s">
        <v>60</v>
      </c>
      <c r="C11" s="1" t="s">
        <v>21</v>
      </c>
      <c r="D11" s="1">
        <v>1</v>
      </c>
      <c r="E11" s="1">
        <v>0</v>
      </c>
      <c r="F11" s="1">
        <v>1</v>
      </c>
      <c r="G11" s="1">
        <f t="shared" si="0"/>
        <v>28.009700000000002</v>
      </c>
      <c r="H11" s="1">
        <v>2</v>
      </c>
    </row>
    <row r="12" spans="1:8">
      <c r="A12" t="s">
        <v>14</v>
      </c>
      <c r="B12" t="s">
        <v>14</v>
      </c>
      <c r="C12" s="1" t="s">
        <v>72</v>
      </c>
      <c r="D12" s="1">
        <v>0</v>
      </c>
      <c r="E12" s="1">
        <v>2</v>
      </c>
      <c r="F12" s="1">
        <v>0</v>
      </c>
      <c r="G12" s="1">
        <f t="shared" si="0"/>
        <v>2.0156800000000001</v>
      </c>
      <c r="H12" s="1">
        <v>2</v>
      </c>
    </row>
    <row r="13" spans="1:8">
      <c r="A13" t="s">
        <v>33</v>
      </c>
      <c r="B13" t="s">
        <v>73</v>
      </c>
      <c r="C13" s="1" t="s">
        <v>21</v>
      </c>
      <c r="D13" s="1">
        <v>1</v>
      </c>
      <c r="E13" s="1">
        <v>0</v>
      </c>
      <c r="F13" s="1">
        <v>1</v>
      </c>
      <c r="G13" s="1">
        <f t="shared" si="0"/>
        <v>28.009700000000002</v>
      </c>
      <c r="H13" s="1">
        <v>2</v>
      </c>
    </row>
    <row r="14" spans="1:8">
      <c r="A14" t="s">
        <v>34</v>
      </c>
      <c r="B14" t="s">
        <v>73</v>
      </c>
      <c r="C14" s="1" t="s">
        <v>21</v>
      </c>
      <c r="D14" s="1">
        <v>1</v>
      </c>
      <c r="E14" s="1">
        <v>0</v>
      </c>
      <c r="F14" s="1">
        <v>1</v>
      </c>
      <c r="G14" s="1">
        <f t="shared" si="0"/>
        <v>28.009700000000002</v>
      </c>
      <c r="H14" s="1">
        <v>2</v>
      </c>
    </row>
    <row r="15" spans="1:8">
      <c r="A15" t="s">
        <v>35</v>
      </c>
      <c r="B15" t="s">
        <v>73</v>
      </c>
      <c r="C15" s="1" t="s">
        <v>21</v>
      </c>
      <c r="D15" s="1">
        <v>1</v>
      </c>
      <c r="E15" s="1">
        <v>0</v>
      </c>
      <c r="F15" s="1">
        <v>1</v>
      </c>
      <c r="G15" s="1">
        <f t="shared" si="0"/>
        <v>28.009700000000002</v>
      </c>
      <c r="H15" s="1">
        <v>2</v>
      </c>
    </row>
    <row r="16" spans="1:8" ht="13.9">
      <c r="A16" t="s">
        <v>36</v>
      </c>
      <c r="B16" t="s">
        <v>73</v>
      </c>
      <c r="C16" s="1" t="s">
        <v>65</v>
      </c>
      <c r="D16" s="1">
        <v>1</v>
      </c>
      <c r="E16" s="1">
        <v>1</v>
      </c>
      <c r="F16" s="1">
        <v>2</v>
      </c>
      <c r="G16" s="1">
        <f t="shared" si="0"/>
        <v>45.016539999999999</v>
      </c>
      <c r="H16" s="4">
        <v>2</v>
      </c>
    </row>
    <row r="17" spans="1:8" ht="13.9">
      <c r="A17" t="s">
        <v>37</v>
      </c>
      <c r="B17" t="s">
        <v>73</v>
      </c>
      <c r="C17" s="1" t="s">
        <v>65</v>
      </c>
      <c r="D17" s="1">
        <v>1</v>
      </c>
      <c r="E17" s="1">
        <v>1</v>
      </c>
      <c r="F17" s="1">
        <v>2</v>
      </c>
      <c r="G17" s="1">
        <f t="shared" si="0"/>
        <v>45.016539999999999</v>
      </c>
      <c r="H17" s="4">
        <v>2</v>
      </c>
    </row>
    <row r="18" spans="1:8" ht="13.9">
      <c r="A18" t="s">
        <v>38</v>
      </c>
      <c r="B18" t="s">
        <v>73</v>
      </c>
      <c r="C18" s="1" t="s">
        <v>65</v>
      </c>
      <c r="D18" s="1">
        <v>1</v>
      </c>
      <c r="E18" s="1">
        <v>1</v>
      </c>
      <c r="F18" s="1">
        <v>2</v>
      </c>
      <c r="G18" s="1">
        <f t="shared" si="0"/>
        <v>45.016539999999999</v>
      </c>
      <c r="H18" s="4">
        <v>2</v>
      </c>
    </row>
  </sheetData>
  <autoFilter ref="A1:H8" xr:uid="{00000000-0009-0000-0000-000003000000}"/>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
  <sheetViews>
    <sheetView zoomScaleNormal="100" workbookViewId="0">
      <selection activeCell="E18" sqref="E18"/>
    </sheetView>
  </sheetViews>
  <sheetFormatPr defaultColWidth="8.7109375" defaultRowHeight="13.15"/>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c r="A1" s="7" t="s">
        <v>74</v>
      </c>
      <c r="B1" s="7" t="s">
        <v>75</v>
      </c>
      <c r="C1" s="7" t="s">
        <v>76</v>
      </c>
      <c r="D1" s="7" t="s">
        <v>77</v>
      </c>
      <c r="E1" s="7" t="s">
        <v>78</v>
      </c>
      <c r="F1" s="7" t="s">
        <v>79</v>
      </c>
      <c r="G1" s="7" t="s">
        <v>3</v>
      </c>
      <c r="H1" s="7" t="s">
        <v>2</v>
      </c>
      <c r="I1" s="7" t="s">
        <v>1</v>
      </c>
    </row>
    <row r="2" spans="1:9">
      <c r="A2" s="7" t="s">
        <v>80</v>
      </c>
      <c r="B2" s="1" t="s">
        <v>81</v>
      </c>
      <c r="C2" s="1" t="s">
        <v>82</v>
      </c>
      <c r="D2" s="1" t="s">
        <v>82</v>
      </c>
      <c r="E2" s="1" t="s">
        <v>83</v>
      </c>
      <c r="F2" s="1" t="s">
        <v>84</v>
      </c>
      <c r="G2" s="1" t="s">
        <v>83</v>
      </c>
      <c r="H2" s="1" t="s">
        <v>85</v>
      </c>
      <c r="I2" s="1" t="s">
        <v>86</v>
      </c>
    </row>
    <row r="3" spans="1:9">
      <c r="A3" s="2" t="s">
        <v>87</v>
      </c>
      <c r="B3" s="1">
        <f>8/100</f>
        <v>0.08</v>
      </c>
      <c r="C3" s="1">
        <v>140</v>
      </c>
      <c r="D3" s="1">
        <v>30</v>
      </c>
      <c r="E3" s="1">
        <v>30</v>
      </c>
      <c r="F3" s="1">
        <v>4000</v>
      </c>
      <c r="G3" s="1">
        <v>50</v>
      </c>
      <c r="H3" s="1">
        <v>100</v>
      </c>
      <c r="I3" s="1">
        <v>4</v>
      </c>
    </row>
    <row r="4" spans="1:9">
      <c r="A4" s="2" t="s">
        <v>88</v>
      </c>
      <c r="B4" s="1">
        <f>5/100</f>
        <v>0.05</v>
      </c>
      <c r="C4" s="1">
        <v>100</v>
      </c>
      <c r="D4" s="1">
        <v>100</v>
      </c>
      <c r="E4" s="1">
        <v>50</v>
      </c>
      <c r="F4" s="1">
        <v>2000</v>
      </c>
      <c r="G4" s="1">
        <v>70</v>
      </c>
      <c r="H4" s="1">
        <v>300</v>
      </c>
      <c r="I4" s="1">
        <v>3</v>
      </c>
    </row>
    <row r="5" spans="1:9">
      <c r="A5" s="2" t="s">
        <v>89</v>
      </c>
      <c r="B5" s="1">
        <f>2.5/100</f>
        <v>2.5000000000000001E-2</v>
      </c>
      <c r="C5" s="1">
        <v>55</v>
      </c>
      <c r="D5" s="1">
        <v>170</v>
      </c>
      <c r="E5" s="1">
        <v>70</v>
      </c>
      <c r="F5" s="1">
        <v>1000</v>
      </c>
      <c r="G5" s="1">
        <v>90</v>
      </c>
      <c r="H5" s="1">
        <v>1000</v>
      </c>
      <c r="I5" s="1">
        <v>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Normal="100" workbookViewId="0">
      <selection activeCell="H5" sqref="H5"/>
    </sheetView>
  </sheetViews>
  <sheetFormatPr defaultColWidth="8.7109375" defaultRowHeight="13.15"/>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c r="A1" s="7" t="s">
        <v>74</v>
      </c>
      <c r="B1" s="7" t="s">
        <v>75</v>
      </c>
      <c r="C1" s="7" t="s">
        <v>76</v>
      </c>
      <c r="D1" s="7" t="s">
        <v>77</v>
      </c>
      <c r="E1" s="7" t="s">
        <v>78</v>
      </c>
      <c r="F1" s="7" t="s">
        <v>79</v>
      </c>
      <c r="G1" s="7" t="s">
        <v>3</v>
      </c>
      <c r="H1" s="7" t="s">
        <v>2</v>
      </c>
      <c r="I1" s="7" t="s">
        <v>1</v>
      </c>
    </row>
    <row r="2" spans="1:9">
      <c r="A2" s="7" t="s">
        <v>80</v>
      </c>
      <c r="B2" s="1" t="s">
        <v>81</v>
      </c>
      <c r="C2" s="1" t="s">
        <v>82</v>
      </c>
      <c r="D2" s="1" t="s">
        <v>82</v>
      </c>
      <c r="E2" s="1" t="s">
        <v>83</v>
      </c>
      <c r="F2" s="1" t="s">
        <v>84</v>
      </c>
      <c r="G2" s="1" t="s">
        <v>83</v>
      </c>
      <c r="H2" s="1" t="s">
        <v>85</v>
      </c>
      <c r="I2" s="1" t="s">
        <v>86</v>
      </c>
    </row>
    <row r="3" spans="1:9">
      <c r="A3" s="2" t="s">
        <v>87</v>
      </c>
      <c r="B3" s="1">
        <f>6/100</f>
        <v>0.06</v>
      </c>
      <c r="C3" s="1">
        <f>60/0.78/0.9</f>
        <v>85.470085470085465</v>
      </c>
      <c r="D3" s="1">
        <v>0</v>
      </c>
      <c r="E3" s="1">
        <v>50</v>
      </c>
      <c r="F3" s="1">
        <f>15*10^3/0.78</f>
        <v>19230.76923076923</v>
      </c>
      <c r="G3" s="1">
        <v>50</v>
      </c>
      <c r="H3" s="1">
        <v>100</v>
      </c>
      <c r="I3" s="1">
        <v>2.5</v>
      </c>
    </row>
    <row r="4" spans="1:9">
      <c r="A4" s="2" t="s">
        <v>88</v>
      </c>
      <c r="B4" s="1">
        <f>4/100</f>
        <v>0.04</v>
      </c>
      <c r="C4" s="1">
        <f>40/0.78/0.9</f>
        <v>56.980056980056972</v>
      </c>
      <c r="D4" s="1">
        <v>0</v>
      </c>
      <c r="E4" s="1">
        <v>100</v>
      </c>
      <c r="F4" s="1">
        <f>10*10^3/0.78</f>
        <v>12820.51282051282</v>
      </c>
      <c r="G4" s="1">
        <v>70</v>
      </c>
      <c r="H4" s="1">
        <v>300</v>
      </c>
      <c r="I4" s="1">
        <v>2</v>
      </c>
    </row>
    <row r="5" spans="1:9">
      <c r="A5" s="2" t="s">
        <v>89</v>
      </c>
      <c r="B5" s="1">
        <f>2/100</f>
        <v>0.02</v>
      </c>
      <c r="C5" s="1">
        <f>20/0.78/0.9</f>
        <v>28.490028490028486</v>
      </c>
      <c r="D5" s="1">
        <v>50</v>
      </c>
      <c r="E5" s="1">
        <v>100</v>
      </c>
      <c r="F5" s="1">
        <f>5*10^3/0.78</f>
        <v>6410.2564102564102</v>
      </c>
      <c r="G5" s="1">
        <v>90</v>
      </c>
      <c r="H5" s="1">
        <v>1000</v>
      </c>
      <c r="I5" s="1">
        <v>1.6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Normal="100" workbookViewId="0">
      <selection activeCell="D3" sqref="D3"/>
    </sheetView>
  </sheetViews>
  <sheetFormatPr defaultColWidth="8.7109375" defaultRowHeight="13.15"/>
  <cols>
    <col min="1" max="1" width="20" customWidth="1"/>
    <col min="2" max="4" width="11.42578125"/>
    <col min="5" max="5" width="14.28515625" customWidth="1"/>
    <col min="6" max="6" width="23" customWidth="1"/>
    <col min="7" max="7" width="17" customWidth="1"/>
    <col min="8" max="8" width="17.7109375" customWidth="1"/>
    <col min="9" max="1025" width="11.42578125"/>
  </cols>
  <sheetData>
    <row r="1" spans="1:9">
      <c r="A1" s="2" t="s">
        <v>0</v>
      </c>
      <c r="B1" s="2" t="s">
        <v>90</v>
      </c>
      <c r="C1" s="2" t="s">
        <v>91</v>
      </c>
      <c r="D1" s="2" t="s">
        <v>1</v>
      </c>
      <c r="E1" s="2" t="s">
        <v>2</v>
      </c>
      <c r="F1" s="3" t="s">
        <v>3</v>
      </c>
      <c r="G1" s="2" t="s">
        <v>4</v>
      </c>
      <c r="H1" s="3" t="s">
        <v>8</v>
      </c>
      <c r="I1" s="2" t="s">
        <v>47</v>
      </c>
    </row>
    <row r="2" spans="1:9">
      <c r="A2" t="s">
        <v>92</v>
      </c>
      <c r="B2" s="1">
        <v>4</v>
      </c>
      <c r="C2" t="s">
        <v>88</v>
      </c>
      <c r="D2" s="1">
        <v>3</v>
      </c>
      <c r="E2" s="1">
        <v>300</v>
      </c>
      <c r="F2" s="1">
        <v>80</v>
      </c>
      <c r="G2" s="1">
        <v>30</v>
      </c>
      <c r="H2" s="1">
        <v>1</v>
      </c>
      <c r="I2" t="s">
        <v>93</v>
      </c>
    </row>
    <row r="3" spans="1:9">
      <c r="A3" t="s">
        <v>92</v>
      </c>
      <c r="B3" s="1">
        <v>2</v>
      </c>
      <c r="C3" t="s">
        <v>89</v>
      </c>
      <c r="D3" s="1">
        <v>2</v>
      </c>
      <c r="E3" s="1">
        <v>500</v>
      </c>
      <c r="F3" s="1">
        <v>90</v>
      </c>
      <c r="G3" s="1">
        <v>30</v>
      </c>
      <c r="H3" s="1">
        <v>1</v>
      </c>
      <c r="I3" t="s">
        <v>93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Austin Zheng</cp:lastModifiedBy>
  <cp:revision>128</cp:revision>
  <dcterms:created xsi:type="dcterms:W3CDTF">2021-05-12T18:02:07Z</dcterms:created>
  <dcterms:modified xsi:type="dcterms:W3CDTF">2023-05-04T18:26:09Z</dcterms:modified>
  <cp:category/>
  <cp:contentStatus/>
</cp:coreProperties>
</file>