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yuan\Desktop\"/>
    </mc:Choice>
  </mc:AlternateContent>
  <xr:revisionPtr revIDLastSave="0" documentId="13_ncr:1_{086F059B-E5FC-4AEB-80DA-0C4AFF9B2B7A}" xr6:coauthVersionLast="41" xr6:coauthVersionMax="41" xr10:uidLastSave="{00000000-0000-0000-0000-000000000000}"/>
  <bookViews>
    <workbookView xWindow="-120" yWindow="-120" windowWidth="29040" windowHeight="15840" xr2:uid="{00000000-000D-0000-FFFF-FFFF00000000}"/>
  </bookViews>
  <sheets>
    <sheet name="EIAbase" sheetId="19"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81" i="19" l="1"/>
  <c r="R87" i="19"/>
  <c r="R102" i="19"/>
  <c r="R97" i="19"/>
  <c r="R92" i="19"/>
  <c r="L101" i="19" l="1"/>
  <c r="L96" i="19"/>
  <c r="L86" i="19"/>
  <c r="L80" i="19"/>
  <c r="G101" i="19"/>
  <c r="G96" i="19"/>
  <c r="G86" i="19"/>
  <c r="Y102" i="19" l="1"/>
  <c r="R117" i="19" l="1"/>
  <c r="Y117" i="19" s="1"/>
  <c r="B117" i="19" s="1"/>
  <c r="R116" i="19"/>
  <c r="Y116" i="19" s="1"/>
  <c r="B116" i="19" s="1"/>
  <c r="Y107" i="19"/>
  <c r="B107" i="19" s="1"/>
  <c r="R108" i="19"/>
  <c r="Y108" i="19" s="1"/>
  <c r="B108" i="19" s="1"/>
  <c r="R107" i="19"/>
  <c r="B102" i="19"/>
  <c r="B47" i="19"/>
  <c r="B48" i="19"/>
  <c r="D119" i="19" l="1"/>
  <c r="E118" i="19"/>
  <c r="E110" i="19"/>
  <c r="G113" i="19"/>
  <c r="G115" i="19"/>
  <c r="G114" i="19"/>
  <c r="J115" i="19"/>
  <c r="M115" i="19" s="1"/>
  <c r="J114" i="19"/>
  <c r="M114" i="19" s="1"/>
  <c r="J113" i="19"/>
  <c r="M113" i="19" s="1"/>
  <c r="B111" i="19"/>
  <c r="J106" i="19"/>
  <c r="M106" i="19" s="1"/>
  <c r="I106" i="19"/>
  <c r="W102" i="19"/>
  <c r="W97" i="19"/>
  <c r="W92" i="19"/>
  <c r="W87" i="19"/>
  <c r="W81" i="19"/>
  <c r="U102" i="19"/>
  <c r="U97" i="19"/>
  <c r="Y97" i="19" s="1"/>
  <c r="B97" i="19" s="1"/>
  <c r="U92" i="19"/>
  <c r="Y92" i="19" s="1"/>
  <c r="B92" i="19" s="1"/>
  <c r="U87" i="19"/>
  <c r="Y87" i="19" s="1"/>
  <c r="B87" i="19" s="1"/>
  <c r="U81" i="19"/>
  <c r="Y81" i="19" s="1"/>
  <c r="B81" i="19" s="1"/>
  <c r="T81" i="19"/>
  <c r="T87" i="19"/>
  <c r="T102" i="19"/>
  <c r="T97" i="19"/>
  <c r="T92" i="19"/>
  <c r="Q97" i="19"/>
  <c r="Q102" i="19"/>
  <c r="Q92" i="19"/>
  <c r="J96" i="19"/>
  <c r="M96" i="19" s="1"/>
  <c r="J101" i="19"/>
  <c r="M101" i="19" s="1"/>
  <c r="N101" i="19" s="1"/>
  <c r="B101" i="19" s="1"/>
  <c r="J80" i="19"/>
  <c r="M80" i="19" s="1"/>
  <c r="J86" i="19"/>
  <c r="M86" i="19" s="1"/>
  <c r="I101" i="19"/>
  <c r="I96" i="19"/>
  <c r="I86" i="19"/>
  <c r="I80" i="19"/>
  <c r="G106" i="19"/>
  <c r="G80" i="19"/>
  <c r="C46" i="19"/>
  <c r="L91" i="19"/>
  <c r="G91" i="19"/>
  <c r="I91" i="19"/>
  <c r="B46" i="19" l="1"/>
  <c r="J91" i="19"/>
  <c r="M91" i="19" s="1"/>
  <c r="N91" i="19" s="1"/>
  <c r="B91" i="19" s="1"/>
  <c r="B110" i="19" l="1"/>
  <c r="B118" i="19"/>
  <c r="N113" i="19"/>
  <c r="B113" i="19" s="1"/>
  <c r="N106" i="19"/>
  <c r="B106" i="19" s="1"/>
  <c r="N115" i="19"/>
  <c r="B115" i="19" s="1"/>
  <c r="N114" i="19"/>
  <c r="B114" i="19" s="1"/>
  <c r="N86" i="19"/>
  <c r="B86" i="19" s="1"/>
  <c r="N80" i="19"/>
  <c r="B80" i="19" s="1"/>
  <c r="N96" i="19"/>
  <c r="B96" i="19" s="1"/>
</calcChain>
</file>

<file path=xl/sharedStrings.xml><?xml version="1.0" encoding="utf-8"?>
<sst xmlns="http://schemas.openxmlformats.org/spreadsheetml/2006/main" count="222" uniqueCount="161">
  <si>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</si>
  <si>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</si>
  <si>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</si>
  <si>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</si>
  <si>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</si>
  <si>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</si>
  <si>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</si>
  <si>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</si>
  <si>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</si>
  <si>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</si>
  <si>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</si>
  <si>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</si>
  <si>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</si>
  <si>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</si>
  <si>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</si>
  <si>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</si>
  <si>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</si>
  <si>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</si>
  <si>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</si>
  <si>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</si>
  <si>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</si>
  <si>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</si>
  <si>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</si>
  <si>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</si>
  <si>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</si>
  <si>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</si>
  <si>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</si>
  <si>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</si>
  <si>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</si>
  <si>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</si>
  <si>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</si>
  <si>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</si>
  <si>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</si>
  <si>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</si>
  <si>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</si>
  <si>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</si>
  <si>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</si>
  <si>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</si>
  <si>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</si>
  <si>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</si>
  <si>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</si>
  <si>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</si>
  <si>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WIND_CAPACITY_FILE</t>
  </si>
  <si>
    <t>$/kWh</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</si>
  <si>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</si>
  <si>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</si>
  <si>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</si>
  <si>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</si>
  <si>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</si>
  <si>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</si>
  <si>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</si>
  <si>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</si>
  <si>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</si>
  <si>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</si>
  <si>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</si>
  <si>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</si>
  <si>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</si>
  <si>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</si>
  <si>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</si>
  <si>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</si>
  <si>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</si>
  <si>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</si>
  <si>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</si>
  <si>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</si>
  <si>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NORMALIZE_DEMAND_TO_ONE</t>
  </si>
  <si>
    <t>Normalize demand to 1.</t>
  </si>
  <si>
    <t>($/h)/kWh</t>
  </si>
  <si>
    <t>2.7e-6 adds on about 2.4 cents per kWh if used one cycle per year</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</si>
  <si>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</si>
  <si>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</si>
  <si>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</si>
  <si>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</si>
  <si>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</si>
  <si>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</si>
  <si>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</si>
  <si>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</si>
  <si>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</si>
  <si>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</si>
  <si>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</si>
  <si>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</si>
  <si>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</si>
  <si>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</si>
  <si>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</si>
  <si>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</si>
  <si>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</si>
  <si>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</si>
  <si>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</si>
  <si>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</si>
  <si>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</si>
  <si>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</si>
  <si>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</si>
  <si>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</si>
  <si>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EIAbase</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</si>
  <si>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</si>
  <si>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</si>
  <si>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</si>
  <si>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test</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</si>
  <si>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</si>
  <si>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</si>
  <si>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</si>
  <si>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</si>
  <si>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</si>
  <si>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</si>
  <si>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</si>
  <si>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</si>
  <si>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</si>
  <si>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FIXED_CO2_WIND</t>
  </si>
  <si>
    <t>VAR_CO2_WIND</t>
  </si>
  <si>
    <t>FIXED_CO2_NATGAS</t>
  </si>
  <si>
    <t>VAR_CO2_NATGAS</t>
  </si>
  <si>
    <t>FIXED_CO2_NATGAS_CCS</t>
  </si>
  <si>
    <t>VAR_CO2_NATGAS_CCS</t>
  </si>
  <si>
    <t>FIXED_CO2_NUCLEAR</t>
  </si>
  <si>
    <t>VAR_CO2_NUCLEAR</t>
  </si>
  <si>
    <t>CO2_PRICE</t>
  </si>
  <si>
    <t>0.01% per year</t>
  </si>
  <si>
    <t>CO2_COST * VAR_CO2_SOLAR is added to variable cost,source for natgas_ccs is https://en.wikipedia.org/wiki/Life-cycle_greenhouse-gas_emissions_of_energy_sources, direct CO2eq emissions only, not construction etc</t>
  </si>
  <si>
    <t>CO2_COST * VAR_CO2_SOLAR is added to variable cost, direct CO2eq emissions only, not construction etc</t>
  </si>
  <si>
    <t>DISCOUNT_RATE</t>
  </si>
  <si>
    <t>Capital recovery factor (% per year)</t>
  </si>
  <si>
    <t>HOURS_PER_YEAR</t>
  </si>
  <si>
    <t>$/kgCO2</t>
  </si>
  <si>
    <t>CO2 price to be used for fixed and variable CO2 emissions</t>
  </si>
  <si>
    <t>Value</t>
  </si>
  <si>
    <t>Units</t>
  </si>
  <si>
    <t>Source for capital cost</t>
  </si>
  <si>
    <t>Assumed lifetime (yr)</t>
  </si>
  <si>
    <t>Source for lifetime</t>
  </si>
  <si>
    <t>Fixed cost ($/kW-yr)</t>
  </si>
  <si>
    <t>Fixed cost ($/kW-h) NOTE: No difference in time value within year</t>
  </si>
  <si>
    <t>Comments</t>
  </si>
  <si>
    <t>CO2_COST * VAR_CO2_SOLAR is added to variable cost; source for natgas: https://en.wikipedia.org/wiki/Life-cycle_greenhouse-gas_emissions_of_energy_sources; direct CO2eq emissions only, not construction etc</t>
  </si>
  <si>
    <t>Source for fuel cost</t>
  </si>
  <si>
    <t>Heat rate (Btu/kWh)</t>
  </si>
  <si>
    <t>Source for heat rate</t>
  </si>
  <si>
    <t>Efficiency</t>
  </si>
  <si>
    <t>Btu/kWh</t>
  </si>
  <si>
    <t>MWh/MMBtu</t>
  </si>
  <si>
    <t>Fuel cost ($/kWh)</t>
  </si>
  <si>
    <t>Variable cost ($/kWh)</t>
  </si>
  <si>
    <t>Variable O&amp;M cost ($/MWh)</t>
  </si>
  <si>
    <t>Source for variable O&amp;M cost</t>
  </si>
  <si>
    <t>Values are for fixed tilt</t>
  </si>
  <si>
    <t>Values are for onshore wind</t>
  </si>
  <si>
    <t>The idea is that this should be a small number, but bigger than solar, so solar is curtailed first; difference within (1/0.9-1) to avoid battery arbitrage</t>
  </si>
  <si>
    <t>Assuming $261/kWh capital cost (Davis et al., 2018), 7% discount rate, 10-year lifetime (Lazard, 2017)</t>
  </si>
  <si>
    <t>Equivalent to roundtrip efficiency</t>
  </si>
  <si>
    <t>assumptions/constants</t>
  </si>
  <si>
    <t>intermediate calculations</t>
  </si>
  <si>
    <t>final calculations</t>
  </si>
  <si>
    <t>Capital cost ($/kW generation or conversion; $/kWh storage)</t>
  </si>
  <si>
    <t>From $1568/kW and $261/kWh from Davis et al., 2018</t>
  </si>
  <si>
    <t>Source for fixed O&amp;M cost</t>
  </si>
  <si>
    <t>Fixed O&amp;M cost ($/kW-yr)</t>
  </si>
  <si>
    <t>https://www.eia.gov/totalenergy/data/monthly/pdf/sec13_18.pdf</t>
  </si>
  <si>
    <t>Small Variable cost to ensure dispatch order for near-zero variable cost technologies ($/kWh)</t>
  </si>
  <si>
    <t xml:space="preserve"> (NOTE: Fuel cost in $/MMBtu or mills/kWh but not both) Fuel cost ($/MMBtu)</t>
  </si>
  <si>
    <t xml:space="preserve"> (NOTE: Fuel cost in $/MMBtu or mills/kWh but not both) Fuel cost (mills/kWh)</t>
  </si>
  <si>
    <t>Note: for nuclear we are taking only fuel costs as (in units of per kWh electricity not per kWh thermal) as variable and adding other factors to fixed cost.</t>
  </si>
  <si>
    <t>Note: for nuclear we are adding non-fuel variable costs to fixed costs.</t>
  </si>
  <si>
    <t>need to finalize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</si>
</sst>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
    <numFmt numFmtId="167" formatCode="0.00000E+00"/>
    <numFmt numFmtId="168" formatCode="0.0000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50">
    <xf numFmtId="0" fontId="0" fillId="0" borderId="0" xfId="0"/>
    <xf numFmtId="0" fontId="0" fillId="35" borderId="0" xfId="0" applyFill="1"/>
    <xf numFmtId="11" fontId="0" fillId="0" borderId="0" xfId="0" applyNumberFormat="1" applyAlignment="1">
      <alignment horizontal="left"/>
    </xf>
    <xf numFmtId="0" fontId="0" fillId="36" borderId="0" xfId="0" applyFill="1" applyAlignment="1">
      <alignment horizontal="left"/>
    </xf>
    <xf numFmtId="0" fontId="0" fillId="36" borderId="0" xfId="0" applyFill="1" applyAlignment="1">
      <alignment horizontal="right"/>
    </xf>
    <xf numFmtId="0" fontId="16" fillId="0" borderId="0" xfId="0" applyFont="1" applyAlignment="1">
      <alignment horizontal="right"/>
    </xf>
    <xf numFmtId="0" fontId="0" fillId="0" borderId="0" xfId="0" applyAlignment="1">
      <alignment horizontal="right"/>
    </xf>
    <xf numFmtId="0" fontId="0" fillId="33" borderId="0" xfId="0" applyFill="1" applyAlignment="1">
      <alignment horizontal="right"/>
    </xf>
    <xf numFmtId="0" fontId="0" fillId="35" borderId="0" xfId="0" applyFill="1" applyAlignment="1">
      <alignment horizontal="right"/>
    </xf>
    <xf numFmtId="0" fontId="0" fillId="0" borderId="0" xfId="0" applyAlignment="1">
      <alignment horizontal="right" wrapText="1"/>
    </xf>
    <xf numFmtId="0" fontId="0" fillId="36" borderId="0" xfId="0" applyFill="1" applyAlignment="1">
      <alignment horizontal="right" wrapText="1"/>
    </xf>
    <xf numFmtId="11" fontId="0" fillId="35" borderId="0" xfId="0" applyNumberFormat="1" applyFill="1" applyAlignment="1">
      <alignment horizontal="right"/>
    </xf>
    <xf numFmtId="11" fontId="0" fillId="0" borderId="0" xfId="0" applyNumberFormat="1" applyAlignment="1">
      <alignment horizontal="right"/>
    </xf>
    <xf numFmtId="167" fontId="0" fillId="35" borderId="0" xfId="0" applyNumberFormat="1" applyFill="1" applyAlignment="1">
      <alignment horizontal="right"/>
    </xf>
    <xf numFmtId="167" fontId="0" fillId="0" borderId="0" xfId="0" applyNumberFormat="1" applyAlignment="1">
      <alignment horizontal="right"/>
    </xf>
    <xf numFmtId="166" fontId="0" fillId="35" borderId="0" xfId="0" applyNumberFormat="1" applyFill="1" applyAlignment="1">
      <alignment horizontal="right"/>
    </xf>
    <xf numFmtId="166" fontId="0" fillId="0" borderId="0" xfId="0" applyNumberFormat="1" applyAlignment="1">
      <alignment horizontal="right"/>
    </xf>
    <xf numFmtId="0" fontId="0" fillId="0" borderId="0" xfId="0" applyAlignment="1">
      <alignment horizontal="left" wrapText="1"/>
    </xf>
    <xf numFmtId="0" fontId="18" fillId="0" borderId="0" xfId="43" applyAlignment="1">
      <alignment horizontal="left"/>
    </xf>
    <xf numFmtId="166" fontId="0" fillId="36" borderId="0" xfId="0" applyNumberFormat="1" applyFill="1" applyAlignment="1">
      <alignment horizontal="right"/>
    </xf>
    <xf numFmtId="0" fontId="0" fillId="37" borderId="0" xfId="0" applyFill="1" applyAlignment="1">
      <alignment horizontal="right" wrapText="1"/>
    </xf>
    <xf numFmtId="0" fontId="0" fillId="37" borderId="0" xfId="0" applyFill="1" applyAlignment="1">
      <alignment horizontal="right"/>
    </xf>
    <xf numFmtId="2" fontId="0" fillId="37" borderId="0" xfId="0" applyNumberFormat="1" applyFill="1" applyAlignment="1">
      <alignment horizontal="right"/>
    </xf>
    <xf numFmtId="10" fontId="0" fillId="37" borderId="0" xfId="42" applyNumberFormat="1" applyFont="1" applyFill="1" applyAlignment="1">
      <alignment horizontal="right"/>
    </xf>
    <xf numFmtId="0" fontId="0" fillId="37" borderId="0" xfId="0" applyFill="1" applyAlignment="1">
      <alignment horizontal="left"/>
    </xf>
    <xf numFmtId="0" fontId="0" fillId="38" borderId="0" xfId="0" applyFill="1" applyAlignment="1">
      <alignment horizontal="right"/>
    </xf>
    <xf numFmtId="9" fontId="0" fillId="0" borderId="0" xfId="0" applyNumberFormat="1" applyAlignment="1">
      <alignment horizontal="right"/>
    </xf>
    <xf numFmtId="0" fontId="0" fillId="34" borderId="0" xfId="0" applyFill="1" applyAlignment="1">
      <alignment horizontal="left"/>
    </xf>
    <xf numFmtId="164" fontId="0" fillId="38" borderId="0" xfId="0" applyNumberFormat="1" applyFill="1" applyAlignment="1">
      <alignment horizontal="right"/>
    </xf>
    <xf numFmtId="0" fontId="14" fillId="0" borderId="0" xfId="0" applyFont="1" applyAlignment="1">
      <alignment horizontal="left"/>
    </xf>
    <xf numFmtId="0" fontId="0" fillId="38" borderId="0" xfId="0" applyFill="1" applyAlignment="1">
      <alignment horizontal="right" wrapText="1"/>
    </xf>
    <xf numFmtId="0" fontId="0" fillId="38" borderId="0" xfId="0" applyFill="1" applyAlignment="1">
      <alignment horizontal="left"/>
    </xf>
    <xf numFmtId="0" fontId="14" fillId="36" borderId="0" xfId="0" applyFont="1" applyFill="1" applyAlignment="1">
      <alignment horizontal="right"/>
    </xf>
    <xf numFmtId="2" fontId="0" fillId="36" borderId="0" xfId="0" applyNumberFormat="1" applyFill="1" applyAlignment="1">
      <alignment horizontal="right"/>
    </xf>
    <xf numFmtId="165" fontId="0" fillId="0" borderId="0" xfId="0" applyNumberFormat="1" applyAlignment="1">
      <alignment horizontal="right"/>
    </xf>
    <xf numFmtId="165" fontId="0" fillId="37" borderId="0" xfId="0" applyNumberFormat="1" applyFill="1" applyAlignment="1">
      <alignment horizontal="right"/>
    </xf>
    <xf numFmtId="164" fontId="18" fillId="0" borderId="0" xfId="43" applyNumberFormat="1" applyAlignment="1">
      <alignment horizontal="left"/>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19" fillId="35" borderId="0" xfId="0" applyFont="1" applyFill="1" applyAlignment="1">
      <alignment horizontal="right"/>
    </xf>
    <xf numFmtId="0" fontId="0" fillId="34" borderId="0" xfId="0" applyFill="1"/>
    <xf numFmtId="11" fontId="0" fillId="38" borderId="0" xfId="0" applyNumberFormat="1" applyFill="1" applyAlignment="1">
      <alignment horizontal="right"/>
    </xf>
    <xf numFmtId="11" fontId="0" fillId="36" borderId="0" xfId="0" applyNumberFormat="1" applyFill="1" applyAlignment="1">
      <alignment horizontal="right"/>
    </xf>
    <xf numFmtId="11" fontId="0" fillId="33" borderId="0" xfId="0" applyNumberFormat="1" applyFill="1" applyAlignment="1">
      <alignment horizontal="right"/>
    </xf>
    <xf numFmtId="0" fontId="0" fillId="37" borderId="0" xfId="42" applyNumberFormat="1" applyFont="1" applyFill="1" applyAlignment="1">
      <alignment horizontal="right"/>
    </xf>
    <xf numFmtId="0" fontId="19" fillId="0" borderId="0" xfId="0" applyFont="1" applyAlignment="1">
      <alignment horizontal="left"/>
    </xf>
    <xf numFmtId="2" fontId="14" fillId="37" borderId="0" xfId="0" applyNumberFormat="1" applyFont="1" applyFill="1" applyAlignment="1">
      <alignment horizontal="right"/>
    </xf>
    <xf numFmtId="168" fontId="14" fillId="38" borderId="0" xfId="0" applyNumberFormat="1" applyFont="1" applyFill="1" applyAlignment="1">
      <alignment horizontal="right"/>
    </xf>
    <xf numFmtId="167" fontId="14" fillId="35" borderId="0" xfId="0" applyNumberFormat="1" applyFont="1" applyFill="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outlooks/aeo/assumptions/pdf/electricity.pdf" TargetMode="External"/><Relationship Id="rId13" Type="http://schemas.openxmlformats.org/officeDocument/2006/relationships/hyperlink" Target="https://www.eia.gov/outlooks/aeo/assumptions/pdf/electricity.pdf" TargetMode="External"/><Relationship Id="rId18" Type="http://schemas.openxmlformats.org/officeDocument/2006/relationships/hyperlink" Target="https://www.eia.gov/outlooks/aeo/assumptions/pdf/electricity.pdf" TargetMode="External"/><Relationship Id="rId3" Type="http://schemas.openxmlformats.org/officeDocument/2006/relationships/hyperlink" Target="https://www.eia.gov/outlooks/aeo/assumptions/pdf/electricity.pdf" TargetMode="External"/><Relationship Id="rId21" Type="http://schemas.openxmlformats.org/officeDocument/2006/relationships/hyperlink" Target="https://www.eia.gov/outlooks/aeo/assumptions/pdf/electricity.pdf" TargetMode="External"/><Relationship Id="rId7" Type="http://schemas.openxmlformats.org/officeDocument/2006/relationships/hyperlink" Target="https://www.eia.gov/outlooks/aeo/assumptions/pdf/electricity.pdf" TargetMode="External"/><Relationship Id="rId12" Type="http://schemas.openxmlformats.org/officeDocument/2006/relationships/hyperlink" Target="https://www.eia.gov/outlooks/aeo/assumptions/pdf/electricity.pdf" TargetMode="External"/><Relationship Id="rId17" Type="http://schemas.openxmlformats.org/officeDocument/2006/relationships/hyperlink" Target="https://www.eia.gov/outlooks/aeo/assumptions/pdf/electricity.pdf" TargetMode="External"/><Relationship Id="rId2" Type="http://schemas.openxmlformats.org/officeDocument/2006/relationships/hyperlink" Target="https://www.eia.gov/outlooks/aeo/assumptions/pdf/electricity.pdf" TargetMode="External"/><Relationship Id="rId16" Type="http://schemas.openxmlformats.org/officeDocument/2006/relationships/hyperlink" Target="https://www.eia.gov/outlooks/aeo/assumptions/pdf/electricity.pdf" TargetMode="External"/><Relationship Id="rId20" Type="http://schemas.openxmlformats.org/officeDocument/2006/relationships/hyperlink" Target="https://www.eia.gov/outlooks/aeo/assumptions/pdf/electricity.pdf" TargetMode="External"/><Relationship Id="rId1" Type="http://schemas.openxmlformats.org/officeDocument/2006/relationships/hyperlink" Target="https://www.eia.gov/outlooks/aeo/assumptions/pdf/electricity.pdf" TargetMode="External"/><Relationship Id="rId6" Type="http://schemas.openxmlformats.org/officeDocument/2006/relationships/hyperlink" Target="https://www.eia.gov/outlooks/aeo/assumptions/pdf/electricity.pdf" TargetMode="External"/><Relationship Id="rId11" Type="http://schemas.openxmlformats.org/officeDocument/2006/relationships/hyperlink" Target="https://www.eia.gov/outlooks/aeo/assumptions/pdf/electricity.pdf" TargetMode="External"/><Relationship Id="rId5" Type="http://schemas.openxmlformats.org/officeDocument/2006/relationships/hyperlink" Target="https://www.eia.gov/outlooks/aeo/assumptions/pdf/electricity.pdf" TargetMode="External"/><Relationship Id="rId15" Type="http://schemas.openxmlformats.org/officeDocument/2006/relationships/hyperlink" Target="https://www.eia.gov/outlooks/aeo/assumptions/pdf/electricity.pdf" TargetMode="External"/><Relationship Id="rId10" Type="http://schemas.openxmlformats.org/officeDocument/2006/relationships/hyperlink" Target="https://www.eia.gov/outlooks/aeo/assumptions/pdf/electricity.pdf" TargetMode="External"/><Relationship Id="rId19" Type="http://schemas.openxmlformats.org/officeDocument/2006/relationships/hyperlink" Target="https://www.eia.gov/outlooks/aeo/assumptions/pdf/electricity.pdf" TargetMode="External"/><Relationship Id="rId4" Type="http://schemas.openxmlformats.org/officeDocument/2006/relationships/hyperlink" Target="https://www.eia.gov/outlooks/aeo/assumptions/pdf/electricity.pdf" TargetMode="External"/><Relationship Id="rId9" Type="http://schemas.openxmlformats.org/officeDocument/2006/relationships/hyperlink" Target="https://www.eia.gov/outlooks/aeo/assumptions/pdf/electricity.pdf" TargetMode="External"/><Relationship Id="rId14" Type="http://schemas.openxmlformats.org/officeDocument/2006/relationships/hyperlink" Target="https://www.eia.gov/totalenergy/data/monthly/pdf/sec13_18.pdf"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AB133"/>
  <sheetViews>
    <sheetView tabSelected="1" topLeftCell="A97" zoomScale="85" zoomScaleNormal="85" workbookViewId="0">
      <selection activeCell="B106" sqref="B106"/>
    </sheetView>
  </sheetViews>
  <sheetFormatPr defaultColWidth="12.5703125" defaultRowHeight="15" x14ac:dyDescent="0.25"/>
  <cols>
    <col min="1" max="1" width="31.85546875" style="38" customWidth="1"/>
    <col min="2" max="2" width="17.85546875" style="6" customWidth="1"/>
    <col min="3" max="3" width="23" style="38" customWidth="1"/>
    <col min="4" max="4" width="12.5703125" style="6" customWidth="1"/>
    <col min="5" max="5" width="12.5703125" style="38" customWidth="1"/>
    <col min="6" max="6" width="12.5703125" style="6" customWidth="1"/>
    <col min="7" max="7" width="12.5703125" style="38" customWidth="1"/>
    <col min="8" max="25" width="12.5703125" style="6" customWidth="1"/>
    <col min="26" max="16384" width="12.5703125" style="6"/>
  </cols>
  <sheetData>
    <row r="1" spans="1:7" s="5" customFormat="1" x14ac:dyDescent="0.25">
      <c r="A1" s="37" t="s">
        <v>0</v>
      </c>
      <c r="C1" s="37"/>
      <c r="E1" s="37"/>
      <c r="G1" s="37"/>
    </row>
    <row r="3" spans="1:7" x14ac:dyDescent="0.25">
      <c r="A3" s="38" t="s">
        <v>1</v>
      </c>
    </row>
    <row r="5" spans="1:7" x14ac:dyDescent="0.25">
      <c r="A5" s="38" t="s">
        <v>68</v>
      </c>
    </row>
    <row r="6" spans="1:7" x14ac:dyDescent="0.25">
      <c r="A6" s="38" t="s">
        <v>69</v>
      </c>
    </row>
    <row r="7" spans="1:7" x14ac:dyDescent="0.25">
      <c r="A7" s="38" t="s">
        <v>70</v>
      </c>
    </row>
    <row r="9" spans="1:7" x14ac:dyDescent="0.25">
      <c r="A9" s="38" t="s">
        <v>2</v>
      </c>
    </row>
    <row r="10" spans="1:7" x14ac:dyDescent="0.25">
      <c r="A10" s="38" t="s">
        <v>3</v>
      </c>
    </row>
    <row r="11" spans="1:7" x14ac:dyDescent="0.25">
      <c r="A11" s="38" t="s">
        <v>4</v>
      </c>
    </row>
    <row r="13" spans="1:7" x14ac:dyDescent="0.25">
      <c r="A13" s="38" t="s">
        <v>82</v>
      </c>
    </row>
    <row r="15" spans="1:7" x14ac:dyDescent="0.25">
      <c r="A15" s="38" t="s">
        <v>5</v>
      </c>
    </row>
    <row r="17" spans="1:1" x14ac:dyDescent="0.25">
      <c r="A17" s="38" t="s">
        <v>6</v>
      </c>
    </row>
    <row r="19" spans="1:1" x14ac:dyDescent="0.25">
      <c r="A19" s="38" t="s">
        <v>63</v>
      </c>
    </row>
    <row r="20" spans="1:1" x14ac:dyDescent="0.25">
      <c r="A20" s="38" t="s">
        <v>72</v>
      </c>
    </row>
    <row r="22" spans="1:1" x14ac:dyDescent="0.25">
      <c r="A22" s="38" t="s">
        <v>7</v>
      </c>
    </row>
    <row r="24" spans="1:1" x14ac:dyDescent="0.25">
      <c r="A24" s="38" t="s">
        <v>8</v>
      </c>
    </row>
    <row r="26" spans="1:1" x14ac:dyDescent="0.25">
      <c r="A26" s="38" t="s">
        <v>9</v>
      </c>
    </row>
    <row r="28" spans="1:1" x14ac:dyDescent="0.25">
      <c r="A28" s="38" t="s">
        <v>10</v>
      </c>
    </row>
    <row r="30" spans="1:1" x14ac:dyDescent="0.25">
      <c r="A30" s="38" t="s">
        <v>11</v>
      </c>
    </row>
    <row r="32" spans="1:1" x14ac:dyDescent="0.25">
      <c r="A32" s="38" t="s">
        <v>12</v>
      </c>
    </row>
    <row r="34" spans="1:3" x14ac:dyDescent="0.25">
      <c r="A34" s="38" t="s">
        <v>13</v>
      </c>
    </row>
    <row r="35" spans="1:3" x14ac:dyDescent="0.25">
      <c r="A35" s="38" t="s">
        <v>14</v>
      </c>
    </row>
    <row r="37" spans="1:3" x14ac:dyDescent="0.25">
      <c r="A37" s="38" t="s">
        <v>15</v>
      </c>
    </row>
    <row r="39" spans="1:3" x14ac:dyDescent="0.25">
      <c r="A39" s="38" t="s">
        <v>16</v>
      </c>
    </row>
    <row r="41" spans="1:3" x14ac:dyDescent="0.25">
      <c r="A41" s="3" t="s">
        <v>147</v>
      </c>
    </row>
    <row r="42" spans="1:3" x14ac:dyDescent="0.25">
      <c r="A42" s="24" t="s">
        <v>148</v>
      </c>
    </row>
    <row r="43" spans="1:3" x14ac:dyDescent="0.25">
      <c r="A43" s="31" t="s">
        <v>149</v>
      </c>
    </row>
    <row r="45" spans="1:3" x14ac:dyDescent="0.25">
      <c r="A45" s="3" t="s">
        <v>118</v>
      </c>
      <c r="B45" s="4">
        <v>7.0000000000000007E-2</v>
      </c>
    </row>
    <row r="46" spans="1:3" x14ac:dyDescent="0.25">
      <c r="A46" s="3" t="s">
        <v>120</v>
      </c>
      <c r="B46" s="4">
        <f>(365+1/4-1/100+1/400)*24</f>
        <v>8765.82</v>
      </c>
      <c r="C46" s="18" t="str">
        <f>HYPERLINK("https://en.wikipedia.org/wiki/Leap_year", "Reference: # days per year")</f>
        <v>Reference: # days per year</v>
      </c>
    </row>
    <row r="47" spans="1:3" x14ac:dyDescent="0.25">
      <c r="A47" s="3" t="s">
        <v>136</v>
      </c>
      <c r="B47" s="33">
        <f>1000/MWh_per_MMBtu</f>
        <v>3412.141633127942</v>
      </c>
      <c r="C47" s="18" t="s">
        <v>154</v>
      </c>
    </row>
    <row r="48" spans="1:3" x14ac:dyDescent="0.25">
      <c r="A48" s="3" t="s">
        <v>137</v>
      </c>
      <c r="B48" s="19">
        <f>1055.05585262/3600</f>
        <v>0.29307107017222223</v>
      </c>
      <c r="C48" s="18" t="s">
        <v>154</v>
      </c>
    </row>
    <row r="50" spans="1:25" s="7" customFormat="1" x14ac:dyDescent="0.25">
      <c r="A50" s="39" t="s">
        <v>17</v>
      </c>
      <c r="B50" s="39" t="s">
        <v>18</v>
      </c>
      <c r="C50" s="39"/>
      <c r="E50" s="39"/>
      <c r="G50" s="39"/>
    </row>
    <row r="52" spans="1:25" x14ac:dyDescent="0.25">
      <c r="A52" s="27" t="s">
        <v>19</v>
      </c>
      <c r="B52" s="8" t="s">
        <v>96</v>
      </c>
      <c r="C52" s="38" t="s">
        <v>20</v>
      </c>
    </row>
    <row r="53" spans="1:25" x14ac:dyDescent="0.25">
      <c r="A53" s="27" t="s">
        <v>28</v>
      </c>
      <c r="B53" s="8" t="s">
        <v>57</v>
      </c>
      <c r="C53" s="38" t="s">
        <v>29</v>
      </c>
    </row>
    <row r="54" spans="1:25" x14ac:dyDescent="0.25">
      <c r="A54" s="27" t="s">
        <v>21</v>
      </c>
      <c r="B54" s="8" t="s">
        <v>22</v>
      </c>
      <c r="C54" s="38" t="s">
        <v>23</v>
      </c>
    </row>
    <row r="55" spans="1:25" x14ac:dyDescent="0.25">
      <c r="A55" s="27"/>
      <c r="B55" s="8"/>
    </row>
    <row r="56" spans="1:25" x14ac:dyDescent="0.25">
      <c r="A56" s="27" t="s">
        <v>24</v>
      </c>
      <c r="B56" s="8" t="b">
        <v>1</v>
      </c>
      <c r="C56" s="38" t="s">
        <v>25</v>
      </c>
    </row>
    <row r="57" spans="1:25" x14ac:dyDescent="0.25">
      <c r="A57" s="27" t="s">
        <v>26</v>
      </c>
      <c r="B57" s="8" t="b">
        <v>0</v>
      </c>
      <c r="C57" s="38" t="s">
        <v>27</v>
      </c>
    </row>
    <row r="58" spans="1:25" x14ac:dyDescent="0.25">
      <c r="A58" s="27" t="s">
        <v>97</v>
      </c>
      <c r="B58" s="8" t="b">
        <v>1</v>
      </c>
      <c r="C58" s="38" t="s">
        <v>98</v>
      </c>
    </row>
    <row r="60" spans="1:25" s="7" customFormat="1" x14ac:dyDescent="0.25">
      <c r="A60" s="39" t="s">
        <v>30</v>
      </c>
      <c r="B60" s="39" t="s">
        <v>31</v>
      </c>
      <c r="C60" s="39"/>
      <c r="E60" s="39"/>
      <c r="G60" s="39"/>
    </row>
    <row r="61" spans="1:25" s="9" customFormat="1" ht="135" x14ac:dyDescent="0.25">
      <c r="A61" s="17"/>
      <c r="B61" s="9" t="s">
        <v>123</v>
      </c>
      <c r="C61" s="17" t="s">
        <v>124</v>
      </c>
      <c r="D61" s="9" t="s">
        <v>130</v>
      </c>
      <c r="F61" s="10" t="s">
        <v>150</v>
      </c>
      <c r="G61" s="9" t="s">
        <v>125</v>
      </c>
      <c r="H61" s="10" t="s">
        <v>126</v>
      </c>
      <c r="I61" s="9" t="s">
        <v>127</v>
      </c>
      <c r="J61" s="20" t="s">
        <v>119</v>
      </c>
      <c r="K61" s="10" t="s">
        <v>153</v>
      </c>
      <c r="L61" s="9" t="s">
        <v>152</v>
      </c>
      <c r="M61" s="20" t="s">
        <v>128</v>
      </c>
      <c r="N61" s="30" t="s">
        <v>129</v>
      </c>
      <c r="O61" s="10" t="s">
        <v>156</v>
      </c>
      <c r="P61" s="10" t="s">
        <v>157</v>
      </c>
      <c r="Q61" s="9" t="s">
        <v>132</v>
      </c>
      <c r="R61" s="20" t="s">
        <v>138</v>
      </c>
      <c r="S61" s="10" t="s">
        <v>133</v>
      </c>
      <c r="T61" s="9" t="s">
        <v>134</v>
      </c>
      <c r="U61" s="20" t="s">
        <v>135</v>
      </c>
      <c r="V61" s="10" t="s">
        <v>140</v>
      </c>
      <c r="W61" s="9" t="s">
        <v>141</v>
      </c>
      <c r="X61" s="10" t="s">
        <v>155</v>
      </c>
      <c r="Y61" s="30" t="s">
        <v>139</v>
      </c>
    </row>
    <row r="62" spans="1:25" hidden="1" x14ac:dyDescent="0.25">
      <c r="A62" s="27" t="s">
        <v>53</v>
      </c>
      <c r="B62" s="11">
        <v>1000000000000</v>
      </c>
      <c r="C62" s="2"/>
      <c r="D62" s="38" t="s">
        <v>55</v>
      </c>
      <c r="E62" s="6"/>
      <c r="F62" s="4"/>
      <c r="H62" s="4"/>
      <c r="I62" s="38"/>
      <c r="J62" s="21"/>
      <c r="K62" s="4"/>
      <c r="L62" s="12"/>
      <c r="M62" s="21"/>
      <c r="N62" s="25"/>
      <c r="O62" s="4"/>
      <c r="P62" s="4"/>
      <c r="R62" s="21"/>
      <c r="S62" s="4"/>
      <c r="U62" s="21"/>
      <c r="V62" s="21"/>
      <c r="X62" s="4"/>
      <c r="Y62" s="25"/>
    </row>
    <row r="63" spans="1:25" hidden="1" x14ac:dyDescent="0.25">
      <c r="A63" s="27" t="s">
        <v>54</v>
      </c>
      <c r="B63" s="11">
        <v>1000000000000</v>
      </c>
      <c r="C63" s="2"/>
      <c r="D63" s="38" t="s">
        <v>56</v>
      </c>
      <c r="E63" s="6"/>
      <c r="F63" s="4"/>
      <c r="H63" s="4"/>
      <c r="I63" s="38"/>
      <c r="J63" s="21"/>
      <c r="K63" s="4"/>
      <c r="L63" s="12"/>
      <c r="M63" s="21"/>
      <c r="N63" s="25"/>
      <c r="O63" s="4"/>
      <c r="P63" s="4"/>
      <c r="R63" s="21"/>
      <c r="S63" s="4"/>
      <c r="U63" s="21"/>
      <c r="V63" s="21"/>
      <c r="X63" s="4"/>
      <c r="Y63" s="25"/>
    </row>
    <row r="64" spans="1:25" hidden="1" x14ac:dyDescent="0.25">
      <c r="A64" s="27"/>
      <c r="B64" s="8"/>
      <c r="E64" s="6"/>
      <c r="F64" s="4"/>
      <c r="H64" s="4"/>
      <c r="I64" s="38"/>
      <c r="J64" s="21"/>
      <c r="K64" s="4"/>
      <c r="M64" s="21"/>
      <c r="N64" s="25"/>
      <c r="O64" s="4"/>
      <c r="P64" s="4"/>
      <c r="R64" s="21"/>
      <c r="S64" s="4"/>
      <c r="U64" s="21"/>
      <c r="V64" s="21"/>
      <c r="X64" s="4"/>
      <c r="Y64" s="25"/>
    </row>
    <row r="65" spans="1:25" hidden="1" x14ac:dyDescent="0.25">
      <c r="A65" s="27" t="s">
        <v>32</v>
      </c>
      <c r="B65" s="8" t="s">
        <v>60</v>
      </c>
      <c r="E65" s="6"/>
      <c r="F65" s="4"/>
      <c r="H65" s="4"/>
      <c r="I65" s="38"/>
      <c r="J65" s="21"/>
      <c r="K65" s="4"/>
      <c r="M65" s="21"/>
      <c r="N65" s="25"/>
      <c r="O65" s="4"/>
      <c r="P65" s="4"/>
      <c r="R65" s="21"/>
      <c r="S65" s="4"/>
      <c r="U65" s="21"/>
      <c r="V65" s="21"/>
      <c r="X65" s="4"/>
      <c r="Y65" s="25"/>
    </row>
    <row r="66" spans="1:25" hidden="1" x14ac:dyDescent="0.25">
      <c r="A66" s="27" t="s">
        <v>64</v>
      </c>
      <c r="B66" s="8" t="b">
        <v>1</v>
      </c>
      <c r="D66" s="38" t="s">
        <v>65</v>
      </c>
      <c r="E66" s="6"/>
      <c r="F66" s="4"/>
      <c r="H66" s="4"/>
      <c r="I66" s="38"/>
      <c r="J66" s="21"/>
      <c r="K66" s="4"/>
      <c r="M66" s="21"/>
      <c r="N66" s="25"/>
      <c r="O66" s="4"/>
      <c r="P66" s="4"/>
      <c r="R66" s="21"/>
      <c r="S66" s="4"/>
      <c r="U66" s="21"/>
      <c r="V66" s="21"/>
      <c r="X66" s="4"/>
      <c r="Y66" s="25"/>
    </row>
    <row r="67" spans="1:25" hidden="1" x14ac:dyDescent="0.25">
      <c r="A67" s="27"/>
      <c r="B67" s="8"/>
      <c r="E67" s="6"/>
      <c r="F67" s="4"/>
      <c r="H67" s="4"/>
      <c r="I67" s="38"/>
      <c r="J67" s="21"/>
      <c r="K67" s="4"/>
      <c r="M67" s="21"/>
      <c r="N67" s="25"/>
      <c r="O67" s="4"/>
      <c r="P67" s="4"/>
      <c r="R67" s="21"/>
      <c r="S67" s="4"/>
      <c r="U67" s="21"/>
      <c r="V67" s="21"/>
      <c r="X67" s="4"/>
      <c r="Y67" s="25"/>
    </row>
    <row r="68" spans="1:25" hidden="1" x14ac:dyDescent="0.25">
      <c r="A68" s="27" t="s">
        <v>33</v>
      </c>
      <c r="B68" s="8">
        <v>2015</v>
      </c>
      <c r="D68" s="38" t="s">
        <v>91</v>
      </c>
      <c r="E68" s="6"/>
      <c r="F68" s="4"/>
      <c r="H68" s="4"/>
      <c r="I68" s="38"/>
      <c r="J68" s="21"/>
      <c r="K68" s="4"/>
      <c r="M68" s="21"/>
      <c r="N68" s="25"/>
      <c r="O68" s="4"/>
      <c r="P68" s="4"/>
      <c r="R68" s="21"/>
      <c r="S68" s="4"/>
      <c r="U68" s="21"/>
      <c r="V68" s="21"/>
      <c r="X68" s="4"/>
      <c r="Y68" s="25"/>
    </row>
    <row r="69" spans="1:25" hidden="1" x14ac:dyDescent="0.25">
      <c r="A69" s="27" t="s">
        <v>34</v>
      </c>
      <c r="B69" s="8">
        <v>1</v>
      </c>
      <c r="D69" s="38" t="s">
        <v>91</v>
      </c>
      <c r="E69" s="6"/>
      <c r="F69" s="4"/>
      <c r="H69" s="4"/>
      <c r="I69" s="38"/>
      <c r="J69" s="21"/>
      <c r="K69" s="4"/>
      <c r="M69" s="21"/>
      <c r="N69" s="25"/>
      <c r="O69" s="4"/>
      <c r="P69" s="4"/>
      <c r="R69" s="21"/>
      <c r="S69" s="4"/>
      <c r="U69" s="21"/>
      <c r="V69" s="21"/>
      <c r="X69" s="4"/>
      <c r="Y69" s="25"/>
    </row>
    <row r="70" spans="1:25" hidden="1" x14ac:dyDescent="0.25">
      <c r="A70" s="27" t="s">
        <v>35</v>
      </c>
      <c r="B70" s="8">
        <v>1</v>
      </c>
      <c r="D70" s="38" t="s">
        <v>91</v>
      </c>
      <c r="E70" s="6"/>
      <c r="F70" s="4"/>
      <c r="H70" s="4"/>
      <c r="I70" s="38"/>
      <c r="J70" s="21"/>
      <c r="K70" s="4"/>
      <c r="M70" s="21"/>
      <c r="N70" s="25"/>
      <c r="O70" s="4"/>
      <c r="P70" s="4"/>
      <c r="R70" s="21"/>
      <c r="S70" s="4"/>
      <c r="U70" s="21"/>
      <c r="V70" s="21"/>
      <c r="X70" s="4"/>
      <c r="Y70" s="25"/>
    </row>
    <row r="71" spans="1:25" hidden="1" x14ac:dyDescent="0.25">
      <c r="A71" s="27" t="s">
        <v>36</v>
      </c>
      <c r="B71" s="8">
        <v>1</v>
      </c>
      <c r="D71" s="38" t="s">
        <v>91</v>
      </c>
      <c r="E71" s="6"/>
      <c r="F71" s="4"/>
      <c r="H71" s="4"/>
      <c r="I71" s="38"/>
      <c r="J71" s="21"/>
      <c r="K71" s="4"/>
      <c r="M71" s="21"/>
      <c r="N71" s="25"/>
      <c r="O71" s="4"/>
      <c r="P71" s="4"/>
      <c r="R71" s="21"/>
      <c r="S71" s="4"/>
      <c r="U71" s="21"/>
      <c r="V71" s="21"/>
      <c r="X71" s="4"/>
      <c r="Y71" s="25"/>
    </row>
    <row r="72" spans="1:25" hidden="1" x14ac:dyDescent="0.25">
      <c r="A72" s="27" t="s">
        <v>37</v>
      </c>
      <c r="B72" s="8">
        <v>2015</v>
      </c>
      <c r="D72" s="38" t="s">
        <v>91</v>
      </c>
      <c r="E72" s="6"/>
      <c r="F72" s="4"/>
      <c r="H72" s="4"/>
      <c r="I72" s="38"/>
      <c r="J72" s="21"/>
      <c r="K72" s="4"/>
      <c r="M72" s="21"/>
      <c r="N72" s="25"/>
      <c r="O72" s="4"/>
      <c r="P72" s="4"/>
      <c r="R72" s="21"/>
      <c r="S72" s="4"/>
      <c r="U72" s="21"/>
      <c r="V72" s="21"/>
      <c r="X72" s="4"/>
      <c r="Y72" s="25"/>
    </row>
    <row r="73" spans="1:25" hidden="1" x14ac:dyDescent="0.25">
      <c r="A73" s="27" t="s">
        <v>38</v>
      </c>
      <c r="B73" s="8">
        <v>12</v>
      </c>
      <c r="D73" s="38" t="s">
        <v>91</v>
      </c>
      <c r="E73" s="6"/>
      <c r="F73" s="4"/>
      <c r="H73" s="4"/>
      <c r="I73" s="38"/>
      <c r="J73" s="21"/>
      <c r="K73" s="4"/>
      <c r="M73" s="21"/>
      <c r="N73" s="25"/>
      <c r="O73" s="4"/>
      <c r="P73" s="4"/>
      <c r="R73" s="21"/>
      <c r="S73" s="4"/>
      <c r="U73" s="21"/>
      <c r="V73" s="21"/>
      <c r="X73" s="4"/>
      <c r="Y73" s="25"/>
    </row>
    <row r="74" spans="1:25" hidden="1" x14ac:dyDescent="0.25">
      <c r="A74" s="27" t="s">
        <v>39</v>
      </c>
      <c r="B74" s="8">
        <v>31</v>
      </c>
      <c r="D74" s="38" t="s">
        <v>91</v>
      </c>
      <c r="E74" s="6"/>
      <c r="F74" s="4"/>
      <c r="H74" s="4"/>
      <c r="I74" s="38"/>
      <c r="J74" s="21"/>
      <c r="K74" s="4"/>
      <c r="M74" s="21"/>
      <c r="N74" s="25"/>
      <c r="O74" s="4"/>
      <c r="P74" s="4"/>
      <c r="R74" s="21"/>
      <c r="S74" s="4"/>
      <c r="U74" s="21"/>
      <c r="V74" s="21"/>
      <c r="X74" s="4"/>
      <c r="Y74" s="25"/>
    </row>
    <row r="75" spans="1:25" hidden="1" x14ac:dyDescent="0.25">
      <c r="A75" s="27" t="s">
        <v>40</v>
      </c>
      <c r="B75" s="8">
        <v>24</v>
      </c>
      <c r="D75" s="38" t="s">
        <v>91</v>
      </c>
      <c r="E75" s="6"/>
      <c r="F75" s="4"/>
      <c r="H75" s="4"/>
      <c r="I75" s="38"/>
      <c r="J75" s="21"/>
      <c r="K75" s="4"/>
      <c r="M75" s="21"/>
      <c r="N75" s="25"/>
      <c r="O75" s="4"/>
      <c r="P75" s="4"/>
      <c r="R75" s="21"/>
      <c r="S75" s="4"/>
      <c r="U75" s="21"/>
      <c r="V75" s="21"/>
      <c r="X75" s="4"/>
      <c r="Y75" s="25"/>
    </row>
    <row r="76" spans="1:25" hidden="1" x14ac:dyDescent="0.25">
      <c r="A76" s="27"/>
      <c r="B76" s="8"/>
      <c r="E76" s="6"/>
      <c r="F76" s="4"/>
      <c r="H76" s="4"/>
      <c r="I76" s="38"/>
      <c r="J76" s="21"/>
      <c r="K76" s="4"/>
      <c r="M76" s="21"/>
      <c r="N76" s="25"/>
      <c r="O76" s="4"/>
      <c r="P76" s="4"/>
      <c r="R76" s="21"/>
      <c r="S76" s="4"/>
      <c r="U76" s="21"/>
      <c r="V76" s="21"/>
      <c r="X76" s="4"/>
      <c r="Y76" s="25"/>
    </row>
    <row r="77" spans="1:25" hidden="1" x14ac:dyDescent="0.25">
      <c r="A77" s="27" t="s">
        <v>114</v>
      </c>
      <c r="B77" s="8">
        <v>0</v>
      </c>
      <c r="C77" s="38" t="s">
        <v>121</v>
      </c>
      <c r="D77" s="38" t="s">
        <v>122</v>
      </c>
      <c r="E77" s="6"/>
      <c r="F77" s="4"/>
      <c r="H77" s="4"/>
      <c r="I77" s="38"/>
      <c r="J77" s="21"/>
      <c r="K77" s="4"/>
      <c r="M77" s="21"/>
      <c r="N77" s="25"/>
      <c r="O77" s="4"/>
      <c r="P77" s="4"/>
      <c r="R77" s="21"/>
      <c r="S77" s="4"/>
      <c r="U77" s="21"/>
      <c r="V77" s="21"/>
      <c r="X77" s="4"/>
      <c r="Y77" s="25"/>
    </row>
    <row r="78" spans="1:25" hidden="1" x14ac:dyDescent="0.25">
      <c r="A78" s="27"/>
      <c r="B78" s="8"/>
      <c r="E78" s="6"/>
      <c r="F78" s="4"/>
      <c r="H78" s="4"/>
      <c r="I78" s="38"/>
      <c r="J78" s="21"/>
      <c r="K78" s="4"/>
      <c r="M78" s="21"/>
      <c r="N78" s="25"/>
      <c r="O78" s="4"/>
      <c r="P78" s="4"/>
      <c r="R78" s="21"/>
      <c r="S78" s="4"/>
      <c r="U78" s="21"/>
      <c r="V78" s="21"/>
      <c r="X78" s="4"/>
      <c r="Y78" s="25"/>
    </row>
    <row r="79" spans="1:25" x14ac:dyDescent="0.25">
      <c r="A79" s="27" t="s">
        <v>41</v>
      </c>
      <c r="B79" s="8" t="s">
        <v>58</v>
      </c>
      <c r="E79" s="6"/>
      <c r="F79" s="4"/>
      <c r="H79" s="4"/>
      <c r="I79" s="38"/>
      <c r="J79" s="21"/>
      <c r="K79" s="4"/>
      <c r="M79" s="21"/>
      <c r="N79" s="25"/>
      <c r="O79" s="4"/>
      <c r="P79" s="4"/>
      <c r="R79" s="21"/>
      <c r="S79" s="4"/>
      <c r="U79" s="35"/>
      <c r="V79" s="33"/>
      <c r="W79" s="34"/>
      <c r="X79" s="43"/>
      <c r="Y79" s="25"/>
    </row>
    <row r="80" spans="1:25" x14ac:dyDescent="0.25">
      <c r="A80" s="27" t="s">
        <v>83</v>
      </c>
      <c r="B80" s="13">
        <f>N80</f>
        <v>1.9528741509529837E-2</v>
      </c>
      <c r="C80" s="38" t="s">
        <v>62</v>
      </c>
      <c r="D80" s="38" t="s">
        <v>142</v>
      </c>
      <c r="E80" s="6"/>
      <c r="F80" s="4">
        <v>1851</v>
      </c>
      <c r="G80" s="18" t="str">
        <f>HYPERLINK("https://www.eia.gov/outlooks/aeo/assumptions/pdf/electricity.pdf","EIA, AEO2018, Electricity Market Module, Table 2")</f>
        <v>EIA, AEO2018, Electricity Market Module, Table 2</v>
      </c>
      <c r="H80" s="4">
        <v>30</v>
      </c>
      <c r="I80" s="18" t="str">
        <f>HYPERLINK("https://www.eia.gov/outlooks/aeo/assumptions/pdf/commercial.pdf","EIA, AEO2018, Commercial Demand Module, Table 3")</f>
        <v>EIA, AEO2018, Commercial Demand Module, Table 3</v>
      </c>
      <c r="J80" s="23">
        <f>DISCOUNT_RATE*(1+DISCOUNT_RATE)^H80/((1+DISCOUNT_RATE)^H80-1)</f>
        <v>8.0586403511111196E-2</v>
      </c>
      <c r="K80" s="4">
        <v>22.02</v>
      </c>
      <c r="L80" s="18" t="str">
        <f>HYPERLINK("https://www.eia.gov/outlooks/aeo/assumptions/pdf/electricity.pdf","EIA, AEO2018, Electricity Market Module, Table 2")</f>
        <v>EIA, AEO2018, Electricity Market Module, Table 2</v>
      </c>
      <c r="M80" s="22">
        <f>F80*J80+K80</f>
        <v>171.18543289906683</v>
      </c>
      <c r="N80" s="28">
        <f>M80/HOURS_PER_YEAR</f>
        <v>1.9528741509529837E-2</v>
      </c>
      <c r="O80" s="4"/>
      <c r="P80" s="4"/>
      <c r="R80" s="21"/>
      <c r="S80" s="4"/>
      <c r="U80" s="35"/>
      <c r="V80" s="33"/>
      <c r="W80" s="34"/>
      <c r="X80" s="43"/>
      <c r="Y80" s="25"/>
    </row>
    <row r="81" spans="1:25" x14ac:dyDescent="0.25">
      <c r="A81" s="27" t="s">
        <v>73</v>
      </c>
      <c r="B81" s="11">
        <f>Y81</f>
        <v>1E-8</v>
      </c>
      <c r="C81" s="38" t="s">
        <v>43</v>
      </c>
      <c r="D81" s="46" t="s">
        <v>144</v>
      </c>
      <c r="E81" s="6"/>
      <c r="F81" s="4"/>
      <c r="H81" s="4"/>
      <c r="I81" s="38"/>
      <c r="J81" s="21"/>
      <c r="K81" s="4"/>
      <c r="L81" s="12"/>
      <c r="M81" s="21"/>
      <c r="N81" s="25"/>
      <c r="O81" s="4">
        <v>0</v>
      </c>
      <c r="P81" s="4">
        <v>0</v>
      </c>
      <c r="R81" s="45">
        <f>IF(O81=0,P81/1000,O81/MWh_per_MMBtu/1000)</f>
        <v>0</v>
      </c>
      <c r="S81" s="4">
        <v>9271</v>
      </c>
      <c r="T81" s="18" t="str">
        <f>HYPERLINK("https://www.eia.gov/outlooks/aeo/assumptions/pdf/electricity.pdf","EIA, AEO2018, Electricity Market Module, Table 2")</f>
        <v>EIA, AEO2018, Electricity Market Module, Table 2</v>
      </c>
      <c r="U81" s="35">
        <f>1/S81*Btu_per_kWh</f>
        <v>0.36804461580497705</v>
      </c>
      <c r="V81" s="33">
        <v>0</v>
      </c>
      <c r="W81" s="18" t="str">
        <f>HYPERLINK("https://www.eia.gov/outlooks/aeo/assumptions/pdf/electricity.pdf","EIA, AEO2018, Electricity Market Module, Table 2")</f>
        <v>EIA, AEO2018, Electricity Market Module, Table 2</v>
      </c>
      <c r="X81" s="43">
        <v>1E-8</v>
      </c>
      <c r="Y81" s="42">
        <f>R81/U81+V81/1000+X81</f>
        <v>1E-8</v>
      </c>
    </row>
    <row r="82" spans="1:25" x14ac:dyDescent="0.25">
      <c r="A82" s="27" t="s">
        <v>103</v>
      </c>
      <c r="B82" s="8">
        <v>0</v>
      </c>
      <c r="C82" s="38" t="s">
        <v>104</v>
      </c>
      <c r="D82" t="s">
        <v>105</v>
      </c>
      <c r="E82" s="6"/>
      <c r="F82" s="4"/>
      <c r="H82" s="4"/>
      <c r="I82" s="38"/>
      <c r="J82" s="21"/>
      <c r="K82" s="4"/>
      <c r="L82" s="12"/>
      <c r="M82" s="21"/>
      <c r="N82" s="25"/>
      <c r="O82" s="4"/>
      <c r="P82" s="4"/>
      <c r="R82" s="21"/>
      <c r="S82" s="4"/>
      <c r="U82" s="35"/>
      <c r="V82" s="33"/>
      <c r="W82" s="34"/>
      <c r="X82" s="43"/>
      <c r="Y82" s="42"/>
    </row>
    <row r="83" spans="1:25" x14ac:dyDescent="0.25">
      <c r="A83" s="27" t="s">
        <v>102</v>
      </c>
      <c r="B83" s="8">
        <v>0</v>
      </c>
      <c r="C83" s="38" t="s">
        <v>101</v>
      </c>
      <c r="D83" t="s">
        <v>117</v>
      </c>
      <c r="E83" s="6"/>
      <c r="F83" s="4"/>
      <c r="H83" s="4"/>
      <c r="I83" s="38"/>
      <c r="J83" s="21"/>
      <c r="K83" s="4"/>
      <c r="L83" s="12"/>
      <c r="M83" s="21"/>
      <c r="N83" s="25"/>
      <c r="O83" s="4"/>
      <c r="P83" s="4"/>
      <c r="R83" s="21"/>
      <c r="S83" s="4"/>
      <c r="U83" s="35"/>
      <c r="V83" s="33"/>
      <c r="W83" s="34"/>
      <c r="X83" s="43"/>
      <c r="Y83" s="42"/>
    </row>
    <row r="84" spans="1:25" x14ac:dyDescent="0.25">
      <c r="A84" s="27"/>
      <c r="B84" s="8"/>
      <c r="D84" s="38"/>
      <c r="E84" s="6"/>
      <c r="F84" s="4"/>
      <c r="H84" s="4"/>
      <c r="I84" s="38"/>
      <c r="J84" s="21"/>
      <c r="K84" s="4"/>
      <c r="M84" s="21"/>
      <c r="N84" s="25"/>
      <c r="O84" s="4"/>
      <c r="P84" s="4"/>
      <c r="R84" s="21"/>
      <c r="S84" s="4"/>
      <c r="U84" s="35"/>
      <c r="V84" s="33"/>
      <c r="W84" s="34"/>
      <c r="X84" s="43"/>
      <c r="Y84" s="42"/>
    </row>
    <row r="85" spans="1:25" x14ac:dyDescent="0.25">
      <c r="A85" s="27" t="s">
        <v>42</v>
      </c>
      <c r="B85" s="8" t="s">
        <v>59</v>
      </c>
      <c r="D85" s="38"/>
      <c r="E85" s="6"/>
      <c r="F85" s="4"/>
      <c r="H85" s="4"/>
      <c r="I85" s="38"/>
      <c r="J85" s="21"/>
      <c r="K85" s="4"/>
      <c r="M85" s="21"/>
      <c r="N85" s="25"/>
      <c r="O85" s="4"/>
      <c r="P85" s="4"/>
      <c r="R85" s="21"/>
      <c r="S85" s="4"/>
      <c r="U85" s="35"/>
      <c r="V85" s="33"/>
      <c r="W85" s="34"/>
      <c r="X85" s="43"/>
      <c r="Y85" s="42"/>
    </row>
    <row r="86" spans="1:25" x14ac:dyDescent="0.25">
      <c r="A86" s="27" t="s">
        <v>84</v>
      </c>
      <c r="B86" s="13">
        <f>N86</f>
        <v>2.0648572594225215E-2</v>
      </c>
      <c r="C86" s="38" t="s">
        <v>62</v>
      </c>
      <c r="D86" s="38" t="s">
        <v>143</v>
      </c>
      <c r="E86" s="6"/>
      <c r="F86" s="4">
        <v>1657</v>
      </c>
      <c r="G86" s="18" t="str">
        <f>HYPERLINK("https://www.eia.gov/outlooks/aeo/assumptions/pdf/electricity.pdf","EIA, AEO2018, Electricity Market Module, Table 2")</f>
        <v>EIA, AEO2018, Electricity Market Module, Table 2</v>
      </c>
      <c r="H86" s="4">
        <v>30</v>
      </c>
      <c r="I86" s="18" t="str">
        <f>HYPERLINK("https://www.eia.gov/outlooks/aeo/assumptions/pdf/commercial.pdf","EIA, AEO2018, Commercial Demand Module, Table 3")</f>
        <v>EIA, AEO2018, Commercial Demand Module, Table 3</v>
      </c>
      <c r="J86" s="23">
        <f>DISCOUNT_RATE*(1+DISCOUNT_RATE)^H86/((1+DISCOUNT_RATE)^H86-1)</f>
        <v>8.0586403511111196E-2</v>
      </c>
      <c r="K86" s="4">
        <v>47.47</v>
      </c>
      <c r="L86" s="18" t="str">
        <f>HYPERLINK("https://www.eia.gov/outlooks/aeo/assumptions/pdf/electricity.pdf","EIA, AEO2018, Electricity Market Module, Table 2")</f>
        <v>EIA, AEO2018, Electricity Market Module, Table 2</v>
      </c>
      <c r="M86" s="22">
        <f>F86*J86+K86</f>
        <v>181.00167061791126</v>
      </c>
      <c r="N86" s="28">
        <f>M86/HOURS_PER_YEAR</f>
        <v>2.0648572594225215E-2</v>
      </c>
      <c r="O86" s="4"/>
      <c r="P86" s="4"/>
      <c r="R86" s="21"/>
      <c r="S86" s="4"/>
      <c r="U86" s="35"/>
      <c r="V86" s="33"/>
      <c r="W86" s="34"/>
      <c r="X86" s="43"/>
      <c r="Y86" s="42"/>
    </row>
    <row r="87" spans="1:25" x14ac:dyDescent="0.25">
      <c r="A87" s="27" t="s">
        <v>74</v>
      </c>
      <c r="B87" s="11">
        <f>Y87</f>
        <v>1.05E-8</v>
      </c>
      <c r="C87" s="38" t="s">
        <v>43</v>
      </c>
      <c r="D87" s="46" t="s">
        <v>144</v>
      </c>
      <c r="E87" s="6"/>
      <c r="F87" s="4"/>
      <c r="H87" s="4"/>
      <c r="I87" s="38"/>
      <c r="J87" s="21"/>
      <c r="K87" s="4"/>
      <c r="L87" s="12"/>
      <c r="M87" s="21"/>
      <c r="N87" s="25"/>
      <c r="O87" s="4">
        <v>0</v>
      </c>
      <c r="P87" s="4">
        <v>0</v>
      </c>
      <c r="R87" s="45">
        <f>IF(O87=0,P87/1000,O87/MWh_per_MMBtu/1000)</f>
        <v>0</v>
      </c>
      <c r="S87" s="4">
        <v>9271</v>
      </c>
      <c r="T87" s="18" t="str">
        <f>HYPERLINK("https://www.eia.gov/outlooks/aeo/assumptions/pdf/electricity.pdf","EIA, AEO2018, Electricity Market Module, Table 2")</f>
        <v>EIA, AEO2018, Electricity Market Module, Table 2</v>
      </c>
      <c r="U87" s="35">
        <f>1/S87*Btu_per_kWh</f>
        <v>0.36804461580497705</v>
      </c>
      <c r="V87" s="33">
        <v>0</v>
      </c>
      <c r="W87" s="18" t="str">
        <f>HYPERLINK("https://www.eia.gov/outlooks/aeo/assumptions/pdf/electricity.pdf","EIA, AEO2018, Electricity Market Module, Table 2")</f>
        <v>EIA, AEO2018, Electricity Market Module, Table 2</v>
      </c>
      <c r="X87" s="43">
        <v>1.05E-8</v>
      </c>
      <c r="Y87" s="42">
        <f>R87/U87+V87/1000+X87</f>
        <v>1.05E-8</v>
      </c>
    </row>
    <row r="88" spans="1:25" x14ac:dyDescent="0.25">
      <c r="A88" s="27" t="s">
        <v>106</v>
      </c>
      <c r="B88" s="8">
        <v>0</v>
      </c>
      <c r="C88" s="38" t="s">
        <v>104</v>
      </c>
      <c r="D88" s="38" t="s">
        <v>105</v>
      </c>
      <c r="E88" s="6"/>
      <c r="F88" s="4"/>
      <c r="H88" s="4"/>
      <c r="I88" s="38"/>
      <c r="J88" s="21"/>
      <c r="K88" s="4"/>
      <c r="L88" s="12"/>
      <c r="M88" s="21"/>
      <c r="N88" s="25"/>
      <c r="O88" s="4"/>
      <c r="P88" s="4"/>
      <c r="R88" s="21"/>
      <c r="S88" s="4"/>
      <c r="U88" s="35"/>
      <c r="V88" s="33"/>
      <c r="W88" s="34"/>
      <c r="X88" s="43"/>
      <c r="Y88" s="42"/>
    </row>
    <row r="89" spans="1:25" x14ac:dyDescent="0.25">
      <c r="A89" s="27" t="s">
        <v>107</v>
      </c>
      <c r="B89" s="8">
        <v>0</v>
      </c>
      <c r="C89" s="38" t="s">
        <v>101</v>
      </c>
      <c r="D89" s="38" t="s">
        <v>117</v>
      </c>
      <c r="E89" s="6"/>
      <c r="F89" s="4"/>
      <c r="H89" s="4"/>
      <c r="I89" s="38"/>
      <c r="J89" s="21"/>
      <c r="K89" s="4"/>
      <c r="L89" s="12"/>
      <c r="M89" s="21"/>
      <c r="N89" s="25"/>
      <c r="O89" s="4"/>
      <c r="P89" s="4"/>
      <c r="R89" s="21"/>
      <c r="S89" s="4"/>
      <c r="U89" s="35"/>
      <c r="V89" s="33"/>
      <c r="W89" s="34"/>
      <c r="X89" s="43"/>
      <c r="Y89" s="42"/>
    </row>
    <row r="90" spans="1:25" x14ac:dyDescent="0.25">
      <c r="A90" s="27"/>
      <c r="B90" s="8"/>
      <c r="D90" s="38"/>
      <c r="E90" s="6"/>
      <c r="F90" s="4"/>
      <c r="H90" s="4"/>
      <c r="I90" s="38"/>
      <c r="J90" s="21"/>
      <c r="K90" s="4"/>
      <c r="M90" s="21"/>
      <c r="N90" s="25"/>
      <c r="O90" s="4"/>
      <c r="P90" s="4"/>
      <c r="R90" s="21"/>
      <c r="S90" s="4"/>
      <c r="U90" s="35"/>
      <c r="V90" s="33"/>
      <c r="W90" s="34"/>
      <c r="X90" s="43"/>
      <c r="Y90" s="42"/>
    </row>
    <row r="91" spans="1:25" x14ac:dyDescent="0.25">
      <c r="A91" s="27" t="s">
        <v>85</v>
      </c>
      <c r="B91" s="13">
        <f>N91</f>
        <v>1.1841887362491711E-2</v>
      </c>
      <c r="C91" s="38" t="s">
        <v>62</v>
      </c>
      <c r="D91" s="38"/>
      <c r="E91" s="6"/>
      <c r="F91" s="4">
        <v>982</v>
      </c>
      <c r="G91" s="18" t="str">
        <f>HYPERLINK("https://www.eia.gov/outlooks/aeo/assumptions/pdf/electricity.pdf","EIA, AEO2018, Electricity Market Module, Table 2")</f>
        <v>EIA, AEO2018, Electricity Market Module, Table 2</v>
      </c>
      <c r="H91" s="4">
        <v>20</v>
      </c>
      <c r="I91" s="18" t="str">
        <f>HYPERLINK("https://www.eia.gov/outlooks/aeo/assumptions/pdf/commercial.pdf","EIA, AEO2018, Commercial Demand Module, Table 3")</f>
        <v>EIA, AEO2018, Commercial Demand Module, Table 3</v>
      </c>
      <c r="J91" s="23">
        <f>DISCOUNT_RATE*(1+DISCOUNT_RATE)^H91/((1+DISCOUNT_RATE)^H91-1)</f>
        <v>9.4392925743255696E-2</v>
      </c>
      <c r="K91" s="4">
        <v>11.11</v>
      </c>
      <c r="L91" s="18" t="str">
        <f>HYPERLINK("https://www.eia.gov/outlooks/aeo/assumptions/pdf/electricity.pdf","EIA, AEO2018, Electricity Market Module, Table 2")</f>
        <v>EIA, AEO2018, Electricity Market Module, Table 2</v>
      </c>
      <c r="M91" s="22">
        <f>F91*J91+K91</f>
        <v>103.80385307987709</v>
      </c>
      <c r="N91" s="28">
        <f>M91/HOURS_PER_YEAR</f>
        <v>1.1841887362491711E-2</v>
      </c>
      <c r="O91" s="4"/>
      <c r="P91" s="4"/>
      <c r="R91" s="21"/>
      <c r="S91" s="4"/>
      <c r="U91" s="35"/>
      <c r="V91" s="33"/>
      <c r="W91" s="34"/>
      <c r="X91" s="43"/>
      <c r="Y91" s="42"/>
    </row>
    <row r="92" spans="1:25" x14ac:dyDescent="0.25">
      <c r="A92" s="27" t="s">
        <v>75</v>
      </c>
      <c r="B92" s="11">
        <f>Y92</f>
        <v>2.2590000000000002E-2</v>
      </c>
      <c r="C92" s="38" t="s">
        <v>43</v>
      </c>
      <c r="D92" s="38"/>
      <c r="E92" s="6"/>
      <c r="F92" s="4"/>
      <c r="H92" s="4"/>
      <c r="I92" s="38"/>
      <c r="J92" s="21"/>
      <c r="K92" s="4"/>
      <c r="L92" s="14"/>
      <c r="M92" s="21"/>
      <c r="N92" s="25"/>
      <c r="O92" s="4">
        <v>3</v>
      </c>
      <c r="P92" s="4">
        <v>0</v>
      </c>
      <c r="Q92" s="36" t="str">
        <f>HYPERLINK("https://www.eia.gov/electricity/annual/html/epa_07_20.html","EIA, EPA2016, Table 7.20")</f>
        <v>EIA, EPA2016, Table 7.20</v>
      </c>
      <c r="R92" s="45">
        <f>IF(O92=0,P92/1000,O92/MWh_per_MMBtu/1000)</f>
        <v>1.0236424899383825E-2</v>
      </c>
      <c r="S92" s="4">
        <v>6350</v>
      </c>
      <c r="T92" s="18" t="str">
        <f>HYPERLINK("https://www.eia.gov/outlooks/aeo/assumptions/pdf/electricity.pdf","EIA, AEO2018, Electricity Market Module, Table 2")</f>
        <v>EIA, AEO2018, Electricity Market Module, Table 2</v>
      </c>
      <c r="U92" s="35">
        <f>1/S92*Btu_per_kWh</f>
        <v>0.53734513907526638</v>
      </c>
      <c r="V92" s="33">
        <v>3.54</v>
      </c>
      <c r="W92" s="18" t="str">
        <f>HYPERLINK("https://www.eia.gov/outlooks/aeo/assumptions/pdf/electricity.pdf","EIA, AEO2018, Electricity Market Module, Table 2")</f>
        <v>EIA, AEO2018, Electricity Market Module, Table 2</v>
      </c>
      <c r="X92" s="43">
        <v>0</v>
      </c>
      <c r="Y92" s="42">
        <f>R92/U92+V92/1000+X92</f>
        <v>2.2590000000000002E-2</v>
      </c>
    </row>
    <row r="93" spans="1:25" x14ac:dyDescent="0.25">
      <c r="A93" s="27" t="s">
        <v>108</v>
      </c>
      <c r="B93" s="8">
        <v>0</v>
      </c>
      <c r="C93" s="38" t="s">
        <v>104</v>
      </c>
      <c r="D93" s="38" t="s">
        <v>105</v>
      </c>
      <c r="E93" s="6"/>
      <c r="F93" s="4"/>
      <c r="H93" s="4"/>
      <c r="I93" s="38"/>
      <c r="J93" s="21"/>
      <c r="K93" s="4"/>
      <c r="L93" s="12"/>
      <c r="M93" s="21"/>
      <c r="N93" s="25"/>
      <c r="O93" s="4"/>
      <c r="P93" s="4"/>
      <c r="R93" s="21"/>
      <c r="S93" s="4"/>
      <c r="U93" s="35"/>
      <c r="V93" s="33"/>
      <c r="W93" s="34"/>
      <c r="X93" s="43"/>
      <c r="Y93" s="42"/>
    </row>
    <row r="94" spans="1:25" x14ac:dyDescent="0.25">
      <c r="A94" s="27" t="s">
        <v>109</v>
      </c>
      <c r="B94" s="15">
        <v>0.46100000000000002</v>
      </c>
      <c r="C94" s="38" t="s">
        <v>101</v>
      </c>
      <c r="D94" s="38" t="s">
        <v>131</v>
      </c>
      <c r="E94" s="6"/>
      <c r="F94" s="4"/>
      <c r="H94" s="4"/>
      <c r="I94" s="38"/>
      <c r="J94" s="21"/>
      <c r="K94" s="4"/>
      <c r="L94" s="16"/>
      <c r="M94" s="21"/>
      <c r="N94" s="25"/>
      <c r="O94" s="4"/>
      <c r="P94" s="4"/>
      <c r="R94" s="21"/>
      <c r="S94" s="4"/>
      <c r="U94" s="35"/>
      <c r="V94" s="33"/>
      <c r="W94" s="34"/>
      <c r="X94" s="43"/>
      <c r="Y94" s="42"/>
    </row>
    <row r="95" spans="1:25" x14ac:dyDescent="0.25">
      <c r="A95" s="27"/>
      <c r="B95" s="8"/>
      <c r="D95" s="38"/>
      <c r="E95" s="6"/>
      <c r="F95" s="4"/>
      <c r="H95" s="4"/>
      <c r="I95" s="38"/>
      <c r="J95" s="21"/>
      <c r="K95" s="4"/>
      <c r="M95" s="21"/>
      <c r="N95" s="25"/>
      <c r="O95" s="4"/>
      <c r="P95" s="4"/>
      <c r="R95" s="21"/>
      <c r="S95" s="4"/>
      <c r="U95" s="35"/>
      <c r="V95" s="33"/>
      <c r="W95" s="34"/>
      <c r="X95" s="43"/>
      <c r="Y95" s="42"/>
    </row>
    <row r="96" spans="1:25" x14ac:dyDescent="0.25">
      <c r="A96" s="27" t="s">
        <v>99</v>
      </c>
      <c r="B96" s="13">
        <f>N96</f>
        <v>2.7271220888813726E-2</v>
      </c>
      <c r="C96" s="38" t="s">
        <v>62</v>
      </c>
      <c r="D96" s="38"/>
      <c r="E96" s="6"/>
      <c r="F96" s="4">
        <v>2175</v>
      </c>
      <c r="G96" s="18" t="str">
        <f>HYPERLINK("https://www.eia.gov/outlooks/aeo/assumptions/pdf/electricity.pdf","EIA, AEO2018, Electricity Market Module, Table 2")</f>
        <v>EIA, AEO2018, Electricity Market Module, Table 2</v>
      </c>
      <c r="H96" s="4">
        <v>20</v>
      </c>
      <c r="I96" s="18" t="str">
        <f>HYPERLINK("https://www.eia.gov/outlooks/aeo/assumptions/pdf/commercial.pdf","EIA, AEO2018, Commercial Demand Module, Table 3")</f>
        <v>EIA, AEO2018, Commercial Demand Module, Table 3</v>
      </c>
      <c r="J96" s="23">
        <f>DISCOUNT_RATE*(1+DISCOUNT_RATE)^H96/((1+DISCOUNT_RATE)^H96-1)</f>
        <v>9.4392925743255696E-2</v>
      </c>
      <c r="K96" s="4">
        <v>33.75</v>
      </c>
      <c r="L96" s="18" t="str">
        <f>HYPERLINK("https://www.eia.gov/outlooks/aeo/assumptions/pdf/electricity.pdf","EIA, AEO2018, Electricity Market Module, Table 2")</f>
        <v>EIA, AEO2018, Electricity Market Module, Table 2</v>
      </c>
      <c r="M96" s="22">
        <f>F96*J96+K96</f>
        <v>239.05461349158114</v>
      </c>
      <c r="N96" s="28">
        <f>M96/HOURS_PER_YEAR</f>
        <v>2.7271220888813726E-2</v>
      </c>
      <c r="O96" s="4"/>
      <c r="P96" s="4"/>
      <c r="R96" s="21"/>
      <c r="S96" s="4"/>
      <c r="U96" s="35"/>
      <c r="V96" s="33"/>
      <c r="W96" s="34"/>
      <c r="X96" s="43"/>
      <c r="Y96" s="42"/>
    </row>
    <row r="97" spans="1:28" x14ac:dyDescent="0.25">
      <c r="A97" s="27" t="s">
        <v>100</v>
      </c>
      <c r="B97" s="11">
        <f>Y97</f>
        <v>2.9678999999999997E-2</v>
      </c>
      <c r="C97" s="38" t="s">
        <v>43</v>
      </c>
      <c r="D97" s="38"/>
      <c r="E97" s="6"/>
      <c r="F97" s="4"/>
      <c r="H97" s="4"/>
      <c r="I97" s="38"/>
      <c r="J97" s="21"/>
      <c r="K97" s="4"/>
      <c r="L97" s="14"/>
      <c r="M97" s="21"/>
      <c r="N97" s="25"/>
      <c r="O97" s="4">
        <v>3</v>
      </c>
      <c r="P97" s="4">
        <v>0</v>
      </c>
      <c r="Q97" s="36" t="str">
        <f>HYPERLINK("https://www.eia.gov/electricity/annual/html/epa_07_20.html","EIA, EPA2016, Table 7.20")</f>
        <v>EIA, EPA2016, Table 7.20</v>
      </c>
      <c r="R97" s="45">
        <f>IF(O97=0,P97/1000,O97/MWh_per_MMBtu/1000)</f>
        <v>1.0236424899383825E-2</v>
      </c>
      <c r="S97" s="4">
        <v>7493</v>
      </c>
      <c r="T97" s="18" t="str">
        <f>HYPERLINK("https://www.eia.gov/outlooks/aeo/assumptions/pdf/electricity.pdf","EIA, AEO2018, Electricity Market Module, Table 2")</f>
        <v>EIA, AEO2018, Electricity Market Module, Table 2</v>
      </c>
      <c r="U97" s="35">
        <f>1/S97*Btu_per_kWh</f>
        <v>0.4553772365044631</v>
      </c>
      <c r="V97" s="33">
        <v>7.2</v>
      </c>
      <c r="W97" s="18" t="str">
        <f>HYPERLINK("https://www.eia.gov/outlooks/aeo/assumptions/pdf/electricity.pdf","EIA, AEO2018, Electricity Market Module, Table 2")</f>
        <v>EIA, AEO2018, Electricity Market Module, Table 2</v>
      </c>
      <c r="X97" s="43">
        <v>0</v>
      </c>
      <c r="Y97" s="42">
        <f>R97/U97+V97/1000+X97</f>
        <v>2.9678999999999997E-2</v>
      </c>
    </row>
    <row r="98" spans="1:28" x14ac:dyDescent="0.25">
      <c r="A98" s="27" t="s">
        <v>110</v>
      </c>
      <c r="B98" s="8">
        <v>0</v>
      </c>
      <c r="C98" s="38" t="s">
        <v>104</v>
      </c>
      <c r="D98" s="38" t="s">
        <v>105</v>
      </c>
      <c r="E98" s="6"/>
      <c r="F98" s="4"/>
      <c r="H98" s="4"/>
      <c r="I98" s="38"/>
      <c r="J98" s="21"/>
      <c r="K98" s="4"/>
      <c r="L98" s="12"/>
      <c r="M98" s="21"/>
      <c r="N98" s="25"/>
      <c r="O98" s="4"/>
      <c r="P98" s="4"/>
      <c r="R98" s="21"/>
      <c r="S98" s="4"/>
      <c r="U98" s="35"/>
      <c r="V98" s="33"/>
      <c r="W98" s="34"/>
      <c r="X98" s="43"/>
      <c r="Y98" s="42"/>
    </row>
    <row r="99" spans="1:28" x14ac:dyDescent="0.25">
      <c r="A99" s="27" t="s">
        <v>111</v>
      </c>
      <c r="B99" s="15">
        <v>0.16700000000000001</v>
      </c>
      <c r="C99" s="38" t="s">
        <v>101</v>
      </c>
      <c r="D99" s="38" t="s">
        <v>116</v>
      </c>
      <c r="E99" s="6"/>
      <c r="F99" s="4"/>
      <c r="H99" s="4"/>
      <c r="I99" s="38"/>
      <c r="J99" s="21"/>
      <c r="K99" s="4"/>
      <c r="L99" s="16"/>
      <c r="M99" s="21"/>
      <c r="N99" s="25"/>
      <c r="O99" s="4"/>
      <c r="P99" s="4"/>
      <c r="R99" s="21"/>
      <c r="S99" s="4"/>
      <c r="U99" s="35"/>
      <c r="V99" s="33"/>
      <c r="W99" s="34"/>
      <c r="X99" s="43"/>
      <c r="Y99" s="42"/>
    </row>
    <row r="100" spans="1:28" x14ac:dyDescent="0.25">
      <c r="A100" s="27"/>
      <c r="B100" s="8"/>
      <c r="D100" s="38"/>
      <c r="E100" s="6"/>
      <c r="F100" s="4"/>
      <c r="H100" s="4"/>
      <c r="I100" s="38"/>
      <c r="J100" s="21"/>
      <c r="K100" s="4"/>
      <c r="M100" s="21"/>
      <c r="N100" s="25"/>
      <c r="O100" s="4"/>
      <c r="P100" s="4"/>
      <c r="R100" s="21"/>
      <c r="S100" s="4"/>
      <c r="U100" s="35"/>
      <c r="V100" s="33"/>
      <c r="W100" s="34"/>
      <c r="X100" s="43"/>
      <c r="Y100" s="42"/>
    </row>
    <row r="101" spans="1:28" x14ac:dyDescent="0.25">
      <c r="A101" s="27" t="s">
        <v>86</v>
      </c>
      <c r="B101" s="13">
        <f>N101</f>
        <v>6.4753901191501415E-2</v>
      </c>
      <c r="C101" s="38" t="s">
        <v>62</v>
      </c>
      <c r="D101" s="38" t="s">
        <v>159</v>
      </c>
      <c r="E101" s="6"/>
      <c r="F101" s="4">
        <v>5946</v>
      </c>
      <c r="G101" s="18" t="str">
        <f>HYPERLINK("https://www.eia.gov/outlooks/aeo/assumptions/pdf/electricity.pdf","EIA, AEO2018, Electricity Market Module, Table 2")</f>
        <v>EIA, AEO2018, Electricity Market Module, Table 2</v>
      </c>
      <c r="H101" s="4">
        <v>40</v>
      </c>
      <c r="I101" s="18" t="str">
        <f>HYPERLINK("https://www.eia.gov/todayinenergy/detail.php?id=19091","EIA, 2014; NRC, 2018")</f>
        <v>EIA, 2014; NRC, 2018</v>
      </c>
      <c r="J101" s="23">
        <f>DISCOUNT_RATE*(1+DISCOUNT_RATE)^H101/((1+DISCOUNT_RATE)^H101-1)</f>
        <v>7.5009138873610326E-2</v>
      </c>
      <c r="K101" s="4">
        <v>101.28</v>
      </c>
      <c r="L101" s="18" t="str">
        <f>HYPERLINK("https://www.eia.gov/outlooks/aeo/assumptions/pdf/electricity.pdf","EIA, AEO2018, Electricity Market Module, Table 2")</f>
        <v>EIA, AEO2018, Electricity Market Module, Table 2</v>
      </c>
      <c r="M101" s="22">
        <f>F101*J101+K101</f>
        <v>547.28433974248696</v>
      </c>
      <c r="N101" s="28">
        <f>M101/HOURS_PER_YEAR+V102/1000</f>
        <v>6.4753901191501415E-2</v>
      </c>
      <c r="O101" s="4"/>
      <c r="P101" s="4"/>
      <c r="R101" s="21"/>
      <c r="S101" s="4"/>
      <c r="U101" s="35"/>
      <c r="V101" s="33"/>
      <c r="W101" s="34"/>
      <c r="X101" s="43"/>
      <c r="Y101" s="42"/>
    </row>
    <row r="102" spans="1:28" x14ac:dyDescent="0.25">
      <c r="A102" s="27" t="s">
        <v>76</v>
      </c>
      <c r="B102" s="11">
        <f>Y102</f>
        <v>7.45E-3</v>
      </c>
      <c r="C102" s="38" t="s">
        <v>43</v>
      </c>
      <c r="D102" s="38" t="s">
        <v>158</v>
      </c>
      <c r="E102" s="6"/>
      <c r="F102" s="4"/>
      <c r="H102" s="4"/>
      <c r="I102" s="38"/>
      <c r="J102" s="21"/>
      <c r="K102" s="4"/>
      <c r="L102" s="14"/>
      <c r="M102" s="21"/>
      <c r="N102" s="25"/>
      <c r="O102" s="4">
        <v>0</v>
      </c>
      <c r="P102" s="4">
        <v>7.45</v>
      </c>
      <c r="Q102" s="18" t="str">
        <f>HYPERLINK("https://www.eia.gov/electricity/annual/html/epa_08_04.html","EIA, EPA2016, Table 8.4")</f>
        <v>EIA, EPA2016, Table 8.4</v>
      </c>
      <c r="R102" s="45">
        <f>IF(O102=0,P102/1000,O102/MWh_per_MMBtu/1000)</f>
        <v>7.45E-3</v>
      </c>
      <c r="S102" s="4">
        <v>10460</v>
      </c>
      <c r="T102" s="18" t="str">
        <f>HYPERLINK("https://www.eia.gov/outlooks/aeo/assumptions/pdf/electricity.pdf","EIA, AEO2018, Electricity Market Module, Table 2")</f>
        <v>EIA, AEO2018, Electricity Market Module, Table 2</v>
      </c>
      <c r="U102" s="35">
        <f>1/S102*Btu_per_kWh</f>
        <v>0.32620856913269042</v>
      </c>
      <c r="V102" s="33">
        <v>2.3199999999999998</v>
      </c>
      <c r="W102" s="18" t="str">
        <f>HYPERLINK("https://www.eia.gov/outlooks/aeo/assumptions/pdf/electricity.pdf","EIA, AEO2018, Electricity Market Module, Table 2")</f>
        <v>EIA, AEO2018, Electricity Market Module, Table 2</v>
      </c>
      <c r="X102" s="43">
        <v>0</v>
      </c>
      <c r="Y102" s="42">
        <f>R102+X102</f>
        <v>7.45E-3</v>
      </c>
    </row>
    <row r="103" spans="1:28" x14ac:dyDescent="0.25">
      <c r="A103" s="27" t="s">
        <v>112</v>
      </c>
      <c r="B103" s="8">
        <v>0</v>
      </c>
      <c r="C103" s="38" t="s">
        <v>104</v>
      </c>
      <c r="D103" s="38" t="s">
        <v>105</v>
      </c>
      <c r="E103" s="6"/>
      <c r="F103" s="4"/>
      <c r="H103" s="4"/>
      <c r="I103" s="38"/>
      <c r="J103" s="21"/>
      <c r="K103" s="4"/>
      <c r="L103" s="12"/>
      <c r="M103" s="21"/>
      <c r="N103" s="25"/>
      <c r="O103" s="4"/>
      <c r="P103" s="4"/>
      <c r="R103" s="21"/>
      <c r="S103" s="4"/>
      <c r="U103" s="35"/>
      <c r="V103" s="33"/>
      <c r="W103" s="34"/>
      <c r="X103" s="43"/>
      <c r="Y103" s="25"/>
    </row>
    <row r="104" spans="1:28" x14ac:dyDescent="0.25">
      <c r="A104" s="27" t="s">
        <v>113</v>
      </c>
      <c r="B104" s="8">
        <v>0</v>
      </c>
      <c r="C104" s="38" t="s">
        <v>101</v>
      </c>
      <c r="D104" s="38" t="s">
        <v>117</v>
      </c>
      <c r="E104" s="6"/>
      <c r="F104" s="4"/>
      <c r="H104" s="4"/>
      <c r="I104" s="38"/>
      <c r="J104" s="21"/>
      <c r="K104" s="4"/>
      <c r="L104" s="12"/>
      <c r="M104" s="21"/>
      <c r="N104" s="25"/>
      <c r="O104" s="4"/>
      <c r="P104" s="4"/>
      <c r="R104" s="21"/>
      <c r="S104" s="4"/>
      <c r="U104" s="35"/>
      <c r="V104" s="33"/>
      <c r="W104" s="34"/>
      <c r="X104" s="43"/>
      <c r="Y104" s="25"/>
    </row>
    <row r="105" spans="1:28" x14ac:dyDescent="0.25">
      <c r="A105" s="27"/>
      <c r="B105" s="8"/>
      <c r="D105" s="38"/>
      <c r="E105" s="6"/>
      <c r="F105" s="4"/>
      <c r="H105" s="4"/>
      <c r="I105" s="38"/>
      <c r="J105" s="21"/>
      <c r="K105" s="4"/>
      <c r="M105" s="21"/>
      <c r="N105" s="25"/>
      <c r="O105" s="4"/>
      <c r="P105" s="4"/>
      <c r="R105" s="21"/>
      <c r="S105" s="4"/>
      <c r="U105" s="35"/>
      <c r="V105" s="33"/>
      <c r="W105" s="34"/>
      <c r="X105" s="43"/>
      <c r="Y105" s="25"/>
    </row>
    <row r="106" spans="1:28" x14ac:dyDescent="0.25">
      <c r="A106" s="27" t="s">
        <v>87</v>
      </c>
      <c r="B106" s="13">
        <f>N106</f>
        <v>4.2392529406082022E-3</v>
      </c>
      <c r="C106" s="38" t="s">
        <v>66</v>
      </c>
      <c r="D106" s="38" t="s">
        <v>145</v>
      </c>
      <c r="E106" s="6"/>
      <c r="F106" s="4">
        <v>261</v>
      </c>
      <c r="G106" s="18" t="str">
        <f>HYPERLINK("http://science.sciencemag.org/content/360/6396/eaas9793/tab-pdf","Davis et al., 2018, Science")</f>
        <v>Davis et al., 2018, Science</v>
      </c>
      <c r="H106" s="4">
        <v>10</v>
      </c>
      <c r="I106" s="18" t="str">
        <f>HYPERLINK("https://www.lazard.com/media/450338/lazard-levelized-cost-of-storage-version-30.pdf","LAZARD, 2017, Appendix A")</f>
        <v>LAZARD, 2017, Appendix A</v>
      </c>
      <c r="J106" s="23">
        <f>DISCOUNT_RATE*(1+DISCOUNT_RATE)^H106/((1+DISCOUNT_RATE)^H106-1)</f>
        <v>0.14237750272736471</v>
      </c>
      <c r="K106" s="4">
        <v>0</v>
      </c>
      <c r="L106" s="14"/>
      <c r="M106" s="22">
        <f>F106*J106+K106</f>
        <v>37.160528211842191</v>
      </c>
      <c r="N106" s="28">
        <f>M106/HOURS_PER_YEAR</f>
        <v>4.2392529406082022E-3</v>
      </c>
      <c r="O106" s="4"/>
      <c r="P106" s="4"/>
      <c r="R106" s="21"/>
      <c r="S106" s="4"/>
      <c r="U106" s="35"/>
      <c r="V106" s="33"/>
      <c r="W106" s="34"/>
      <c r="X106" s="43"/>
      <c r="Y106" s="25"/>
    </row>
    <row r="107" spans="1:28" x14ac:dyDescent="0.25">
      <c r="A107" s="27" t="s">
        <v>77</v>
      </c>
      <c r="B107" s="11">
        <f t="shared" ref="B107:B108" si="0">Y107</f>
        <v>0</v>
      </c>
      <c r="C107" s="38" t="s">
        <v>62</v>
      </c>
      <c r="D107" s="38"/>
      <c r="E107" s="6"/>
      <c r="F107" s="4"/>
      <c r="H107" s="4"/>
      <c r="I107" s="38"/>
      <c r="J107" s="21"/>
      <c r="K107" s="4"/>
      <c r="M107" s="21"/>
      <c r="N107" s="25"/>
      <c r="O107" s="4"/>
      <c r="P107" s="4">
        <v>0</v>
      </c>
      <c r="R107" s="45">
        <f>O107/MWh_per_MMBtu/1000 + P107/1000</f>
        <v>0</v>
      </c>
      <c r="S107" s="4">
        <v>0</v>
      </c>
      <c r="U107" s="35">
        <v>1</v>
      </c>
      <c r="V107" s="33">
        <v>0</v>
      </c>
      <c r="W107" s="34"/>
      <c r="X107" s="43"/>
      <c r="Y107" s="44">
        <f>R107/U107+X107</f>
        <v>0</v>
      </c>
      <c r="AB107" s="26"/>
    </row>
    <row r="108" spans="1:28" x14ac:dyDescent="0.25">
      <c r="A108" s="27" t="s">
        <v>78</v>
      </c>
      <c r="B108" s="11">
        <f t="shared" si="0"/>
        <v>0</v>
      </c>
      <c r="C108" s="38" t="s">
        <v>62</v>
      </c>
      <c r="D108" s="38"/>
      <c r="E108" s="6"/>
      <c r="F108" s="4"/>
      <c r="H108" s="4"/>
      <c r="I108" s="38"/>
      <c r="J108" s="21"/>
      <c r="K108" s="4"/>
      <c r="M108" s="21"/>
      <c r="N108" s="25"/>
      <c r="O108" s="4"/>
      <c r="P108" s="4">
        <v>0</v>
      </c>
      <c r="R108" s="45">
        <f>O108/MWh_per_MMBtu/1000 + P108/1000</f>
        <v>0</v>
      </c>
      <c r="S108" s="4">
        <v>0</v>
      </c>
      <c r="U108" s="35">
        <v>1</v>
      </c>
      <c r="V108" s="33">
        <v>0</v>
      </c>
      <c r="W108" s="34"/>
      <c r="X108" s="43"/>
      <c r="Y108" s="44">
        <f>R108/U108+X108</f>
        <v>0</v>
      </c>
    </row>
    <row r="109" spans="1:28" x14ac:dyDescent="0.25">
      <c r="A109" s="27" t="s">
        <v>44</v>
      </c>
      <c r="B109" s="8">
        <v>0.9</v>
      </c>
      <c r="D109" s="38" t="s">
        <v>146</v>
      </c>
      <c r="E109" s="6"/>
      <c r="F109" s="4"/>
      <c r="H109" s="4"/>
      <c r="I109" s="38"/>
      <c r="J109" s="21"/>
      <c r="K109" s="4"/>
      <c r="M109" s="21"/>
      <c r="N109" s="25"/>
      <c r="O109" s="4"/>
      <c r="P109" s="4"/>
      <c r="R109" s="21"/>
      <c r="S109" s="4"/>
      <c r="U109" s="35"/>
      <c r="V109" s="33"/>
      <c r="W109" s="34"/>
      <c r="X109" s="43"/>
      <c r="Y109" s="25"/>
    </row>
    <row r="110" spans="1:28" x14ac:dyDescent="0.25">
      <c r="A110" s="27" t="s">
        <v>45</v>
      </c>
      <c r="B110" s="13">
        <f>1.01^(1/HOURS_PER_YEAR)-1</f>
        <v>1.1351290010175319E-6</v>
      </c>
      <c r="C110" s="38" t="s">
        <v>46</v>
      </c>
      <c r="D110" s="38" t="s">
        <v>93</v>
      </c>
      <c r="E110" s="18" t="str">
        <f>HYPERLINK("https://batteryuniversity.com/learn/article/elevating_self_discharge","Buchmann, 2018, Battery University")</f>
        <v>Buchmann, 2018, Battery University</v>
      </c>
      <c r="F110" s="4"/>
      <c r="H110" s="4"/>
      <c r="I110" s="38"/>
      <c r="J110" s="21"/>
      <c r="K110" s="4"/>
      <c r="L110" s="14"/>
      <c r="M110" s="21"/>
      <c r="N110" s="25"/>
      <c r="O110" s="4"/>
      <c r="P110" s="4"/>
      <c r="R110" s="21"/>
      <c r="S110" s="4"/>
      <c r="U110" s="35"/>
      <c r="V110" s="33"/>
      <c r="W110" s="34"/>
      <c r="X110" s="43"/>
      <c r="Y110" s="25"/>
    </row>
    <row r="111" spans="1:28" x14ac:dyDescent="0.25">
      <c r="A111" s="27" t="s">
        <v>47</v>
      </c>
      <c r="B111" s="15">
        <f>1568/261</f>
        <v>6.0076628352490422</v>
      </c>
      <c r="C111" s="38" t="s">
        <v>48</v>
      </c>
      <c r="D111" s="38" t="s">
        <v>151</v>
      </c>
      <c r="E111" s="6"/>
      <c r="F111" s="4"/>
      <c r="G111" s="18"/>
      <c r="H111" s="4"/>
      <c r="I111" s="38"/>
      <c r="J111" s="21"/>
      <c r="K111" s="4"/>
      <c r="M111" s="21"/>
      <c r="N111" s="25"/>
      <c r="O111" s="4"/>
      <c r="P111" s="4"/>
      <c r="R111" s="21"/>
      <c r="S111" s="4"/>
      <c r="U111" s="35"/>
      <c r="V111" s="33"/>
      <c r="W111" s="34"/>
      <c r="X111" s="43"/>
      <c r="Y111" s="25"/>
    </row>
    <row r="112" spans="1:28" x14ac:dyDescent="0.25">
      <c r="A112" s="27"/>
      <c r="B112" s="8"/>
      <c r="D112" s="38"/>
      <c r="E112" s="6"/>
      <c r="F112" s="4"/>
      <c r="H112" s="4"/>
      <c r="I112" s="38"/>
      <c r="J112" s="21"/>
      <c r="K112" s="4"/>
      <c r="M112" s="21"/>
      <c r="N112" s="25"/>
      <c r="O112" s="4"/>
      <c r="P112" s="4"/>
      <c r="R112" s="21"/>
      <c r="S112" s="4"/>
      <c r="U112" s="35"/>
      <c r="V112" s="33"/>
      <c r="W112" s="34"/>
      <c r="X112" s="43"/>
      <c r="Y112" s="25"/>
    </row>
    <row r="113" spans="1:25" x14ac:dyDescent="0.25">
      <c r="A113" s="27" t="s">
        <v>88</v>
      </c>
      <c r="B113" s="49">
        <f>N113</f>
        <v>3.2304881600325706E-6</v>
      </c>
      <c r="C113" s="38" t="s">
        <v>66</v>
      </c>
      <c r="D113" s="38" t="s">
        <v>67</v>
      </c>
      <c r="E113" s="29" t="s">
        <v>160</v>
      </c>
      <c r="F113" s="32">
        <v>0.3</v>
      </c>
      <c r="G113" s="18" t="str">
        <f>HYPERLINK("https://prod-ng.sandia.gov/techlib-noauth/access-control.cgi/2011/114845.pdf","Schoenung, 2011, Sandia Report")</f>
        <v>Schoenung, 2011, Sandia Report</v>
      </c>
      <c r="H113" s="32">
        <v>20</v>
      </c>
      <c r="J113" s="23">
        <f>DISCOUNT_RATE*(1+DISCOUNT_RATE)^H113/((1+DISCOUNT_RATE)^H113-1)</f>
        <v>9.4392925743255696E-2</v>
      </c>
      <c r="K113" s="4">
        <v>0</v>
      </c>
      <c r="L113" s="14"/>
      <c r="M113" s="47">
        <f>F113*J113+K113</f>
        <v>2.8317877722976708E-2</v>
      </c>
      <c r="N113" s="48">
        <f>M113/HOURS_PER_YEAR</f>
        <v>3.2304881600325706E-6</v>
      </c>
      <c r="O113" s="4"/>
      <c r="P113" s="4"/>
      <c r="R113" s="21"/>
      <c r="S113" s="4"/>
      <c r="U113" s="35"/>
      <c r="V113" s="33"/>
      <c r="W113" s="34"/>
      <c r="X113" s="43"/>
      <c r="Y113" s="25"/>
    </row>
    <row r="114" spans="1:25" x14ac:dyDescent="0.25">
      <c r="A114" s="27" t="s">
        <v>89</v>
      </c>
      <c r="B114" s="49">
        <f>N114</f>
        <v>1.184512325345276E-2</v>
      </c>
      <c r="C114" s="38" t="s">
        <v>62</v>
      </c>
      <c r="D114" s="38"/>
      <c r="E114" s="29" t="s">
        <v>160</v>
      </c>
      <c r="F114" s="4">
        <v>1100</v>
      </c>
      <c r="G114" s="18" t="str">
        <f>HYPERLINK("http://science.sciencemag.org/content/360/6396/eaas9793/tab-pdf","Davis et al., 2018, Science")</f>
        <v>Davis et al., 2018, Science</v>
      </c>
      <c r="H114" s="32">
        <v>20</v>
      </c>
      <c r="J114" s="23">
        <f>DISCOUNT_RATE*(1+DISCOUNT_RATE)^H114/((1+DISCOUNT_RATE)^H114-1)</f>
        <v>9.4392925743255696E-2</v>
      </c>
      <c r="K114" s="4">
        <v>0</v>
      </c>
      <c r="L114" s="14"/>
      <c r="M114" s="22">
        <f>F114*J114+K114</f>
        <v>103.83221831758127</v>
      </c>
      <c r="N114" s="28">
        <f>M114/HOURS_PER_YEAR</f>
        <v>1.184512325345276E-2</v>
      </c>
      <c r="O114" s="4"/>
      <c r="P114" s="4"/>
      <c r="R114" s="21"/>
      <c r="S114" s="4"/>
      <c r="U114" s="35"/>
      <c r="V114" s="33"/>
      <c r="W114" s="34"/>
      <c r="X114" s="43"/>
      <c r="Y114" s="25"/>
    </row>
    <row r="115" spans="1:25" x14ac:dyDescent="0.25">
      <c r="A115" s="27" t="s">
        <v>90</v>
      </c>
      <c r="B115" s="49">
        <f>N115</f>
        <v>4.9534151787166088E-2</v>
      </c>
      <c r="C115" s="38" t="s">
        <v>62</v>
      </c>
      <c r="D115" s="38"/>
      <c r="E115" s="29" t="s">
        <v>160</v>
      </c>
      <c r="F115" s="4">
        <v>4600</v>
      </c>
      <c r="G115" s="18" t="str">
        <f>HYPERLINK("http://science.sciencemag.org/content/360/6396/eaas9793/tab-pdf","Davis et al., 2018, Science")</f>
        <v>Davis et al., 2018, Science</v>
      </c>
      <c r="H115" s="32">
        <v>20</v>
      </c>
      <c r="J115" s="23">
        <f>DISCOUNT_RATE*(1+DISCOUNT_RATE)^H115/((1+DISCOUNT_RATE)^H115-1)</f>
        <v>9.4392925743255696E-2</v>
      </c>
      <c r="K115" s="4">
        <v>0</v>
      </c>
      <c r="L115" s="14"/>
      <c r="M115" s="22">
        <f>F115*J115+K115</f>
        <v>434.20745841897622</v>
      </c>
      <c r="N115" s="28">
        <f>M115/HOURS_PER_YEAR</f>
        <v>4.9534151787166088E-2</v>
      </c>
      <c r="O115" s="4"/>
      <c r="P115" s="4"/>
      <c r="R115" s="21"/>
      <c r="S115" s="4"/>
      <c r="U115" s="35"/>
      <c r="V115" s="33"/>
      <c r="W115" s="34"/>
      <c r="X115" s="43"/>
      <c r="Y115" s="25"/>
    </row>
    <row r="116" spans="1:25" x14ac:dyDescent="0.25">
      <c r="A116" s="27" t="s">
        <v>79</v>
      </c>
      <c r="B116" s="11">
        <f t="shared" ref="B116:B117" si="1">Y116</f>
        <v>0</v>
      </c>
      <c r="C116" s="38" t="s">
        <v>62</v>
      </c>
      <c r="D116" s="38"/>
      <c r="E116" s="6"/>
      <c r="F116" s="4"/>
      <c r="H116" s="4"/>
      <c r="I116" s="38"/>
      <c r="J116" s="21"/>
      <c r="K116" s="4"/>
      <c r="M116" s="21"/>
      <c r="N116" s="25"/>
      <c r="O116" s="4"/>
      <c r="P116" s="4">
        <v>0</v>
      </c>
      <c r="R116" s="45">
        <f>O116/MWh_per_MMBtu/1000 + P116/1000</f>
        <v>0</v>
      </c>
      <c r="S116" s="4">
        <v>0</v>
      </c>
      <c r="U116" s="35">
        <v>1</v>
      </c>
      <c r="V116" s="33">
        <v>0</v>
      </c>
      <c r="W116" s="34"/>
      <c r="X116" s="43"/>
      <c r="Y116" s="44">
        <f>R116/U116+X116</f>
        <v>0</v>
      </c>
    </row>
    <row r="117" spans="1:25" x14ac:dyDescent="0.25">
      <c r="A117" s="27" t="s">
        <v>80</v>
      </c>
      <c r="B117" s="11">
        <f t="shared" si="1"/>
        <v>0</v>
      </c>
      <c r="C117" s="38" t="s">
        <v>62</v>
      </c>
      <c r="D117" s="38"/>
      <c r="E117" s="6"/>
      <c r="F117" s="4"/>
      <c r="H117" s="4"/>
      <c r="I117" s="38"/>
      <c r="J117" s="21"/>
      <c r="K117" s="4"/>
      <c r="M117" s="21"/>
      <c r="N117" s="25"/>
      <c r="O117" s="4"/>
      <c r="P117" s="4">
        <v>0</v>
      </c>
      <c r="R117" s="45">
        <f>O117/MWh_per_MMBtu/1000 + P117/1000</f>
        <v>0</v>
      </c>
      <c r="S117" s="4">
        <v>0</v>
      </c>
      <c r="U117" s="35">
        <v>1</v>
      </c>
      <c r="V117" s="33">
        <v>0</v>
      </c>
      <c r="W117" s="34"/>
      <c r="X117" s="43"/>
      <c r="Y117" s="44">
        <f>R117/U117+X117</f>
        <v>0</v>
      </c>
    </row>
    <row r="118" spans="1:25" x14ac:dyDescent="0.25">
      <c r="A118" s="27" t="s">
        <v>94</v>
      </c>
      <c r="B118" s="40">
        <f>1.0001^(1/HOURS_PER_YEAR)-1</f>
        <v>1.1407375488659E-8</v>
      </c>
      <c r="C118" s="38" t="s">
        <v>46</v>
      </c>
      <c r="D118" s="38" t="s">
        <v>115</v>
      </c>
      <c r="E118" s="18" t="str">
        <f>HYPERLINK("http://juser.fz-juelich.de/record/135790/files/Energie%26Umwelt_78-04.pdf","Crotogino et al., 2010, p43")</f>
        <v>Crotogino et al., 2010, p43</v>
      </c>
      <c r="F118" s="4"/>
      <c r="H118" s="4"/>
      <c r="I118" s="38"/>
      <c r="J118" s="21"/>
      <c r="K118" s="4"/>
      <c r="M118" s="21"/>
      <c r="N118" s="25"/>
      <c r="O118" s="4"/>
      <c r="P118" s="4"/>
      <c r="R118" s="21"/>
      <c r="S118" s="4"/>
      <c r="U118" s="35"/>
      <c r="V118" s="33"/>
      <c r="W118" s="34"/>
      <c r="X118" s="43"/>
      <c r="Y118" s="25"/>
    </row>
    <row r="119" spans="1:25" x14ac:dyDescent="0.25">
      <c r="A119" s="27" t="s">
        <v>61</v>
      </c>
      <c r="B119" s="40">
        <v>0.3</v>
      </c>
      <c r="D119" s="18" t="str">
        <f>HYPERLINK("https://pubs.rsc.org/en/content/articlepdf/2015/ee/c4ee04041d","Pellow et al., 2015, Energy Environ. Sci.")</f>
        <v>Pellow et al., 2015, Energy Environ. Sci.</v>
      </c>
      <c r="E119" s="6"/>
      <c r="F119" s="4"/>
      <c r="H119" s="4"/>
      <c r="I119" s="38"/>
      <c r="J119" s="21"/>
      <c r="K119" s="4"/>
      <c r="M119" s="21"/>
      <c r="N119" s="25"/>
      <c r="O119" s="4"/>
      <c r="P119" s="4"/>
      <c r="R119" s="21"/>
      <c r="S119" s="4"/>
      <c r="U119" s="35"/>
      <c r="V119" s="33"/>
      <c r="W119" s="34"/>
      <c r="X119" s="43"/>
      <c r="Y119" s="25"/>
    </row>
    <row r="120" spans="1:25" x14ac:dyDescent="0.25">
      <c r="A120" s="27"/>
      <c r="B120" s="8"/>
      <c r="D120" s="38"/>
      <c r="E120" s="6"/>
      <c r="F120" s="4"/>
      <c r="H120" s="4"/>
      <c r="I120" s="38"/>
      <c r="J120" s="21"/>
      <c r="K120" s="4"/>
      <c r="M120" s="21"/>
      <c r="N120" s="25"/>
      <c r="O120" s="4"/>
      <c r="P120" s="4"/>
      <c r="R120" s="21"/>
      <c r="S120" s="4"/>
      <c r="U120" s="35"/>
      <c r="V120" s="33"/>
      <c r="W120" s="34"/>
      <c r="X120" s="43"/>
      <c r="Y120" s="25"/>
    </row>
    <row r="121" spans="1:25" x14ac:dyDescent="0.25">
      <c r="A121" s="27" t="s">
        <v>81</v>
      </c>
      <c r="B121" s="8">
        <v>10</v>
      </c>
      <c r="C121" s="38" t="s">
        <v>62</v>
      </c>
      <c r="D121" s="38"/>
      <c r="E121" s="6"/>
      <c r="F121" s="4"/>
      <c r="H121" s="4"/>
      <c r="I121" s="38"/>
      <c r="J121" s="21"/>
      <c r="K121" s="4"/>
      <c r="M121" s="21"/>
      <c r="N121" s="25"/>
      <c r="O121" s="4"/>
      <c r="P121" s="4"/>
      <c r="R121" s="21"/>
      <c r="S121" s="4"/>
      <c r="U121" s="35"/>
      <c r="V121" s="33"/>
      <c r="W121" s="34"/>
      <c r="X121" s="43"/>
      <c r="Y121" s="25"/>
    </row>
    <row r="123" spans="1:25" x14ac:dyDescent="0.25">
      <c r="C123" s="38" t="s">
        <v>95</v>
      </c>
    </row>
    <row r="124" spans="1:25" s="7" customFormat="1" x14ac:dyDescent="0.25">
      <c r="A124" s="39" t="s">
        <v>49</v>
      </c>
      <c r="B124" s="39" t="s">
        <v>71</v>
      </c>
      <c r="C124" s="39"/>
      <c r="E124" s="39"/>
      <c r="G124" s="39"/>
    </row>
    <row r="125" spans="1:25" s="41" customFormat="1" x14ac:dyDescent="0.25">
      <c r="A125" s="41" t="s">
        <v>50</v>
      </c>
      <c r="B125" s="41" t="s">
        <v>33</v>
      </c>
      <c r="C125" s="41" t="s">
        <v>37</v>
      </c>
      <c r="D125" s="41" t="s">
        <v>83</v>
      </c>
      <c r="E125" s="41" t="s">
        <v>73</v>
      </c>
      <c r="F125" s="41" t="s">
        <v>84</v>
      </c>
      <c r="G125" s="41" t="s">
        <v>74</v>
      </c>
      <c r="H125" s="41" t="s">
        <v>85</v>
      </c>
      <c r="I125" s="41" t="s">
        <v>75</v>
      </c>
      <c r="J125" s="41" t="s">
        <v>86</v>
      </c>
      <c r="K125" s="41" t="s">
        <v>76</v>
      </c>
      <c r="L125" s="41" t="s">
        <v>87</v>
      </c>
      <c r="M125" s="41" t="s">
        <v>77</v>
      </c>
      <c r="N125" s="41" t="s">
        <v>78</v>
      </c>
      <c r="O125" s="41" t="s">
        <v>88</v>
      </c>
      <c r="P125" s="41" t="s">
        <v>89</v>
      </c>
      <c r="Q125" s="41" t="s">
        <v>90</v>
      </c>
      <c r="R125" s="41" t="s">
        <v>79</v>
      </c>
      <c r="S125" s="41" t="s">
        <v>80</v>
      </c>
      <c r="T125" s="41" t="s">
        <v>81</v>
      </c>
    </row>
    <row r="127" spans="1:25" s="1" customFormat="1" x14ac:dyDescent="0.25">
      <c r="A127" s="1" t="s">
        <v>92</v>
      </c>
      <c r="B127" s="1">
        <v>2015</v>
      </c>
      <c r="C127" s="1">
        <v>2015</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row>
    <row r="129" spans="1:7" s="7" customFormat="1" x14ac:dyDescent="0.25">
      <c r="A129" s="39" t="s">
        <v>51</v>
      </c>
      <c r="C129" s="39"/>
      <c r="E129" s="39"/>
      <c r="G129" s="39"/>
    </row>
    <row r="133" spans="1:7" x14ac:dyDescent="0.25">
      <c r="A133" s="38" t="s">
        <v>52</v>
      </c>
    </row>
  </sheetData>
  <hyperlinks>
    <hyperlink ref="G91" r:id="rId1" display="https://www.eia.gov/outlooks/aeo/assumptions/pdf/electricity.pdf" xr:uid="{D4F82348-7FEB-44D6-8242-A150E680C949}"/>
    <hyperlink ref="L91" r:id="rId2" display="https://www.eia.gov/outlooks/aeo/assumptions/pdf/electricity.pdf" xr:uid="{11F35F40-C3B9-4B35-ADB4-A3E10C65D044}"/>
    <hyperlink ref="G80" r:id="rId3" display="https://www.eia.gov/outlooks/aeo/assumptions/pdf/electricity.pdf" xr:uid="{BF5C7E5D-F8A3-46CD-8088-76F2124B7F5F}"/>
    <hyperlink ref="T92" r:id="rId4" display="https://www.eia.gov/outlooks/aeo/assumptions/pdf/electricity.pdf" xr:uid="{B3F61FCD-F98A-4AD1-B0A3-E7970C496B18}"/>
    <hyperlink ref="T97" r:id="rId5" display="https://www.eia.gov/outlooks/aeo/assumptions/pdf/electricity.pdf" xr:uid="{A3C3EAEC-BFCC-4470-8FD4-9746F3DCB983}"/>
    <hyperlink ref="T102" r:id="rId6" display="https://www.eia.gov/outlooks/aeo/assumptions/pdf/electricity.pdf" xr:uid="{0EB68777-5E96-4D18-9637-37021EF861C3}"/>
    <hyperlink ref="T87" r:id="rId7" display="https://www.eia.gov/outlooks/aeo/assumptions/pdf/electricity.pdf" xr:uid="{33042A6E-E1E3-4E26-B2EB-BBE50391E5ED}"/>
    <hyperlink ref="T81" r:id="rId8" display="https://www.eia.gov/outlooks/aeo/assumptions/pdf/electricity.pdf" xr:uid="{87D36ED0-1B08-4461-A110-2120521072E4}"/>
    <hyperlink ref="W81" r:id="rId9" display="https://www.eia.gov/outlooks/aeo/assumptions/pdf/electricity.pdf" xr:uid="{C9A4E443-2B2C-4AFC-AA59-4273D897858D}"/>
    <hyperlink ref="W87" r:id="rId10" display="https://www.eia.gov/outlooks/aeo/assumptions/pdf/electricity.pdf" xr:uid="{00DFEBD8-D874-46E4-86FF-52893C834302}"/>
    <hyperlink ref="W92" r:id="rId11" display="https://www.eia.gov/outlooks/aeo/assumptions/pdf/electricity.pdf" xr:uid="{DE2D1580-1426-4531-B157-189749CFD6FC}"/>
    <hyperlink ref="W97" r:id="rId12" display="https://www.eia.gov/outlooks/aeo/assumptions/pdf/electricity.pdf" xr:uid="{A2EE982E-C33D-43BD-B198-E3A89CA4604B}"/>
    <hyperlink ref="W102" r:id="rId13" display="https://www.eia.gov/outlooks/aeo/assumptions/pdf/electricity.pdf" xr:uid="{02C5AF0D-C76B-4512-8029-81FB51A341B0}"/>
    <hyperlink ref="C47" r:id="rId14" xr:uid="{F773030B-B52E-4953-A2A5-90C5529A2EE1}"/>
    <hyperlink ref="G86" r:id="rId15" display="https://www.eia.gov/outlooks/aeo/assumptions/pdf/electricity.pdf" xr:uid="{92BE6E6D-560B-4F47-9E06-F42F84ECF0B3}"/>
    <hyperlink ref="G96" r:id="rId16" display="https://www.eia.gov/outlooks/aeo/assumptions/pdf/electricity.pdf" xr:uid="{D9E92614-297C-43A2-9078-0658EBF83270}"/>
    <hyperlink ref="G101" r:id="rId17" display="https://www.eia.gov/outlooks/aeo/assumptions/pdf/electricity.pdf" xr:uid="{4DDC3F77-FA25-423D-8054-B9D62D2DC5ED}"/>
    <hyperlink ref="L80" r:id="rId18" display="https://www.eia.gov/outlooks/aeo/assumptions/pdf/electricity.pdf" xr:uid="{18CF4945-0DA0-4960-98DD-6460A9ED7AF7}"/>
    <hyperlink ref="L86" r:id="rId19" display="https://www.eia.gov/outlooks/aeo/assumptions/pdf/electricity.pdf" xr:uid="{61F12362-DEF9-4F58-9235-FC50486B6B1F}"/>
    <hyperlink ref="L96" r:id="rId20" display="https://www.eia.gov/outlooks/aeo/assumptions/pdf/electricity.pdf" xr:uid="{38C1BD50-A26C-4B6D-A3D8-F287279B7C88}"/>
    <hyperlink ref="L101" r:id="rId21" display="https://www.eia.gov/outlooks/aeo/assumptions/pdf/electricity.pdf" xr:uid="{84C8E793-5192-4B38-A74B-9E272A6E3F3E}"/>
  </hyperlinks>
  <pageMargins left="0.7" right="0.7" top="0.75" bottom="0.75" header="0.3" footer="0.3"/>
  <pageSetup orientation="portrait" horizontalDpi="0" verticalDpi="0"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Mengyao Yuan</cp:lastModifiedBy>
  <dcterms:created xsi:type="dcterms:W3CDTF">2018-06-05T21:59:17Z</dcterms:created>
  <dcterms:modified xsi:type="dcterms:W3CDTF">2019-03-27T19:37:31Z</dcterms:modified>
</cp:coreProperties>
</file>