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tianlinzheng/Desktop/"/>
    </mc:Choice>
  </mc:AlternateContent>
  <xr:revisionPtr revIDLastSave="0" documentId="8_{CE96B49C-2727-7A4C-B378-5928328E6F60}" xr6:coauthVersionLast="40" xr6:coauthVersionMax="40" xr10:uidLastSave="{00000000-0000-0000-0000-000000000000}"/>
  <bookViews>
    <workbookView xWindow="80" yWindow="460" windowWidth="28800" windowHeight="16860" tabRatio="500" activeTab="2" xr2:uid="{00000000-000D-0000-FFFF-FFFF00000000}"/>
  </bookViews>
  <sheets>
    <sheet name="Inputs New City" sheetId="2" r:id="rId1"/>
    <sheet name="Outputs New City" sheetId="3" state="hidden" r:id="rId2"/>
    <sheet name="Radar1" sheetId="1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D6" i="2"/>
  <c r="D7" i="2"/>
  <c r="D8" i="2"/>
  <c r="F124" i="2"/>
  <c r="B209" i="2"/>
  <c r="B123" i="2"/>
  <c r="F118" i="2"/>
  <c r="Y38" i="11"/>
  <c r="F121" i="2"/>
  <c r="F122" i="2"/>
  <c r="F123" i="2"/>
  <c r="B203" i="2"/>
  <c r="B121" i="2"/>
  <c r="F117" i="2"/>
  <c r="Y37" i="11"/>
  <c r="D70" i="2"/>
  <c r="B76" i="2"/>
  <c r="C71" i="2"/>
  <c r="D71" i="2"/>
  <c r="C72" i="2"/>
  <c r="D72" i="2"/>
  <c r="C73" i="2"/>
  <c r="D73" i="2"/>
  <c r="C74" i="2"/>
  <c r="D74" i="2"/>
  <c r="D75" i="2"/>
  <c r="D76" i="2"/>
  <c r="D77" i="2"/>
  <c r="D78" i="2"/>
  <c r="D105" i="2"/>
  <c r="C27" i="3"/>
  <c r="D39" i="2"/>
  <c r="D40" i="2"/>
  <c r="B45" i="2"/>
  <c r="C41" i="2"/>
  <c r="D41" i="2"/>
  <c r="C42" i="2"/>
  <c r="D42" i="2"/>
  <c r="C43" i="2"/>
  <c r="D43" i="2"/>
  <c r="D44" i="2"/>
  <c r="D45" i="2"/>
  <c r="D46" i="2"/>
  <c r="D47" i="2"/>
  <c r="D101" i="2"/>
  <c r="C23" i="3"/>
  <c r="B64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D60" i="2"/>
  <c r="D61" i="2"/>
  <c r="D62" i="2"/>
  <c r="D63" i="2"/>
  <c r="D64" i="2"/>
  <c r="D65" i="2"/>
  <c r="D66" i="2"/>
  <c r="D102" i="2"/>
  <c r="C24" i="3"/>
  <c r="D103" i="2"/>
  <c r="C25" i="3"/>
  <c r="M122" i="2"/>
  <c r="L122" i="2"/>
  <c r="O122" i="2"/>
  <c r="D14" i="2"/>
  <c r="B110" i="2"/>
  <c r="H14" i="2"/>
  <c r="I14" i="2"/>
  <c r="G13" i="2"/>
  <c r="D13" i="2"/>
  <c r="H13" i="2"/>
  <c r="I13" i="2"/>
  <c r="G12" i="2"/>
  <c r="H12" i="2"/>
  <c r="I12" i="2"/>
  <c r="G11" i="2"/>
  <c r="D11" i="2"/>
  <c r="H11" i="2"/>
  <c r="I11" i="2"/>
  <c r="D21" i="2"/>
  <c r="H21" i="2"/>
  <c r="I21" i="2"/>
  <c r="D15" i="2"/>
  <c r="H15" i="2"/>
  <c r="I15" i="2"/>
  <c r="D16" i="2"/>
  <c r="H16" i="2"/>
  <c r="I16" i="2"/>
  <c r="D17" i="2"/>
  <c r="H17" i="2"/>
  <c r="I17" i="2"/>
  <c r="D18" i="2"/>
  <c r="H18" i="2"/>
  <c r="I18" i="2"/>
  <c r="D19" i="2"/>
  <c r="H19" i="2"/>
  <c r="I19" i="2"/>
  <c r="D20" i="2"/>
  <c r="H20" i="2"/>
  <c r="I20" i="2"/>
  <c r="D22" i="2"/>
  <c r="H22" i="2"/>
  <c r="I22" i="2"/>
  <c r="D23" i="2"/>
  <c r="H23" i="2"/>
  <c r="I23" i="2"/>
  <c r="D10" i="2"/>
  <c r="H10" i="2"/>
  <c r="I10" i="2"/>
  <c r="I24" i="2"/>
  <c r="I25" i="2"/>
  <c r="I26" i="2"/>
  <c r="D104" i="2"/>
  <c r="C26" i="3"/>
  <c r="B87" i="2"/>
  <c r="C82" i="2"/>
  <c r="D82" i="2"/>
  <c r="C83" i="2"/>
  <c r="D83" i="2"/>
  <c r="C84" i="2"/>
  <c r="D84" i="2"/>
  <c r="D85" i="2"/>
  <c r="D86" i="2"/>
  <c r="D87" i="2"/>
  <c r="D88" i="2"/>
  <c r="D89" i="2"/>
  <c r="D106" i="2"/>
  <c r="C28" i="3"/>
  <c r="B96" i="2"/>
  <c r="C93" i="2"/>
  <c r="D93" i="2"/>
  <c r="C94" i="2"/>
  <c r="D94" i="2"/>
  <c r="D95" i="2"/>
  <c r="D96" i="2"/>
  <c r="D97" i="2"/>
  <c r="D98" i="2"/>
  <c r="D107" i="2"/>
  <c r="C29" i="3"/>
  <c r="C30" i="3"/>
  <c r="G27" i="3"/>
  <c r="W27" i="3"/>
  <c r="H27" i="3"/>
  <c r="C2" i="3"/>
  <c r="H2" i="3"/>
  <c r="C3" i="3"/>
  <c r="H3" i="3"/>
  <c r="B108" i="2"/>
  <c r="D108" i="2"/>
  <c r="C4" i="3"/>
  <c r="W4" i="3"/>
  <c r="H4" i="3"/>
  <c r="B109" i="2"/>
  <c r="D109" i="2"/>
  <c r="C5" i="3"/>
  <c r="W5" i="3"/>
  <c r="H5" i="3"/>
  <c r="C6" i="3"/>
  <c r="W6" i="3"/>
  <c r="H6" i="3"/>
  <c r="C7" i="3"/>
  <c r="W7" i="3"/>
  <c r="H7" i="3"/>
  <c r="C8" i="3"/>
  <c r="W8" i="3"/>
  <c r="H8" i="3"/>
  <c r="D210" i="2"/>
  <c r="C10" i="3"/>
  <c r="W10" i="3"/>
  <c r="H10" i="3"/>
  <c r="D204" i="2"/>
  <c r="C12" i="3"/>
  <c r="W12" i="3"/>
  <c r="H12" i="3"/>
  <c r="G27" i="2"/>
  <c r="D27" i="2"/>
  <c r="C15" i="3"/>
  <c r="W15" i="3"/>
  <c r="H15" i="3"/>
  <c r="D28" i="2"/>
  <c r="C16" i="3"/>
  <c r="W16" i="3"/>
  <c r="H16" i="3"/>
  <c r="D29" i="2"/>
  <c r="C17" i="3"/>
  <c r="W17" i="3"/>
  <c r="H17" i="3"/>
  <c r="D30" i="2"/>
  <c r="C18" i="3"/>
  <c r="W18" i="3"/>
  <c r="H18" i="3"/>
  <c r="G31" i="2"/>
  <c r="D31" i="2"/>
  <c r="C19" i="3"/>
  <c r="W19" i="3"/>
  <c r="H19" i="3"/>
  <c r="O135" i="2"/>
  <c r="D32" i="2"/>
  <c r="C20" i="3"/>
  <c r="W20" i="3"/>
  <c r="H20" i="3"/>
  <c r="O136" i="2"/>
  <c r="D33" i="2"/>
  <c r="C21" i="3"/>
  <c r="W21" i="3"/>
  <c r="H21" i="3"/>
  <c r="W23" i="3"/>
  <c r="H23" i="3"/>
  <c r="W24" i="3"/>
  <c r="H24" i="3"/>
  <c r="W25" i="3"/>
  <c r="H25" i="3"/>
  <c r="W26" i="3"/>
  <c r="H26" i="3"/>
  <c r="H28" i="3"/>
  <c r="W28" i="3"/>
  <c r="H29" i="3"/>
  <c r="W11" i="3"/>
  <c r="H11" i="3"/>
  <c r="W13" i="3"/>
  <c r="H13" i="3"/>
  <c r="H31" i="3"/>
  <c r="L27" i="3"/>
  <c r="M27" i="3"/>
  <c r="K27" i="3"/>
  <c r="J27" i="3"/>
  <c r="Q20" i="3"/>
  <c r="C21" i="11"/>
  <c r="F166" i="2"/>
  <c r="D277" i="2"/>
  <c r="G28" i="3"/>
  <c r="L28" i="3"/>
  <c r="M28" i="3"/>
  <c r="K28" i="3"/>
  <c r="J28" i="3"/>
  <c r="Q21" i="3"/>
  <c r="C22" i="11"/>
  <c r="F167" i="2"/>
  <c r="D278" i="2"/>
  <c r="C9" i="3"/>
  <c r="G8" i="3"/>
  <c r="L8" i="3"/>
  <c r="M8" i="3"/>
  <c r="K8" i="3"/>
  <c r="J8" i="3"/>
  <c r="Q8" i="3"/>
  <c r="C9" i="11"/>
  <c r="F154" i="2"/>
  <c r="D276" i="2"/>
  <c r="G7" i="3"/>
  <c r="L7" i="3"/>
  <c r="M7" i="3"/>
  <c r="K7" i="3"/>
  <c r="J7" i="3"/>
  <c r="Q7" i="3"/>
  <c r="C8" i="11"/>
  <c r="F153" i="2"/>
  <c r="D275" i="2"/>
  <c r="G6" i="3"/>
  <c r="L6" i="3"/>
  <c r="M6" i="3"/>
  <c r="K6" i="3"/>
  <c r="J6" i="3"/>
  <c r="Q6" i="3"/>
  <c r="C7" i="11"/>
  <c r="F152" i="2"/>
  <c r="D274" i="2"/>
  <c r="F9" i="3"/>
  <c r="G5" i="3"/>
  <c r="L5" i="3"/>
  <c r="M5" i="3"/>
  <c r="K5" i="3"/>
  <c r="J5" i="3"/>
  <c r="Q5" i="3"/>
  <c r="C6" i="11"/>
  <c r="F151" i="2"/>
  <c r="D273" i="2"/>
  <c r="G4" i="3"/>
  <c r="L4" i="3"/>
  <c r="M4" i="3"/>
  <c r="K4" i="3"/>
  <c r="J4" i="3"/>
  <c r="Q4" i="3"/>
  <c r="C5" i="11"/>
  <c r="F150" i="2"/>
  <c r="D272" i="2"/>
  <c r="D262" i="2"/>
  <c r="D261" i="2"/>
  <c r="G26" i="3"/>
  <c r="L26" i="3"/>
  <c r="M26" i="3"/>
  <c r="K26" i="3"/>
  <c r="J26" i="3"/>
  <c r="Q19" i="3"/>
  <c r="C20" i="11"/>
  <c r="F165" i="2"/>
  <c r="D260" i="2"/>
  <c r="G24" i="3"/>
  <c r="L24" i="3"/>
  <c r="M24" i="3"/>
  <c r="K24" i="3"/>
  <c r="J24" i="3"/>
  <c r="Q17" i="3"/>
  <c r="C18" i="11"/>
  <c r="F163" i="2"/>
  <c r="D259" i="2"/>
  <c r="G23" i="3"/>
  <c r="L23" i="3"/>
  <c r="M23" i="3"/>
  <c r="K23" i="3"/>
  <c r="J23" i="3"/>
  <c r="Q16" i="3"/>
  <c r="C17" i="11"/>
  <c r="F162" i="2"/>
  <c r="D258" i="2"/>
  <c r="D257" i="2"/>
  <c r="D256" i="2"/>
  <c r="D255" i="2"/>
  <c r="D254" i="2"/>
  <c r="G3" i="3"/>
  <c r="L3" i="3"/>
  <c r="M3" i="3"/>
  <c r="K3" i="3"/>
  <c r="J3" i="3"/>
  <c r="Q3" i="3"/>
  <c r="C4" i="11"/>
  <c r="F149" i="2"/>
  <c r="D253" i="2"/>
  <c r="G2" i="3"/>
  <c r="L2" i="3"/>
  <c r="M2" i="3"/>
  <c r="K2" i="3"/>
  <c r="J2" i="3"/>
  <c r="Q2" i="3"/>
  <c r="C3" i="11"/>
  <c r="F148" i="2"/>
  <c r="D252" i="2"/>
  <c r="G25" i="3"/>
  <c r="L25" i="3"/>
  <c r="M25" i="3"/>
  <c r="K25" i="3"/>
  <c r="J25" i="3"/>
  <c r="Q18" i="3"/>
  <c r="C19" i="11"/>
  <c r="F164" i="2"/>
  <c r="D250" i="2"/>
  <c r="C22" i="3"/>
  <c r="G17" i="3"/>
  <c r="L17" i="3"/>
  <c r="M17" i="3"/>
  <c r="K17" i="3"/>
  <c r="J17" i="3"/>
  <c r="Q11" i="3"/>
  <c r="C12" i="11"/>
  <c r="F157" i="2"/>
  <c r="D249" i="2"/>
  <c r="G19" i="3"/>
  <c r="L19" i="3"/>
  <c r="M19" i="3"/>
  <c r="K19" i="3"/>
  <c r="J19" i="3"/>
  <c r="Q13" i="3"/>
  <c r="C14" i="11"/>
  <c r="F159" i="2"/>
  <c r="D248" i="2"/>
  <c r="G18" i="3"/>
  <c r="L18" i="3"/>
  <c r="M18" i="3"/>
  <c r="K18" i="3"/>
  <c r="J18" i="3"/>
  <c r="Q12" i="3"/>
  <c r="C13" i="11"/>
  <c r="F158" i="2"/>
  <c r="D247" i="2"/>
  <c r="D246" i="2"/>
  <c r="F168" i="2"/>
  <c r="D251" i="2"/>
  <c r="D263" i="2"/>
  <c r="D271" i="2"/>
  <c r="D241" i="2"/>
  <c r="D240" i="2"/>
  <c r="D239" i="2"/>
  <c r="D238" i="2"/>
  <c r="D237" i="2"/>
  <c r="D236" i="2"/>
  <c r="G21" i="3"/>
  <c r="L21" i="3"/>
  <c r="M21" i="3"/>
  <c r="K21" i="3"/>
  <c r="J21" i="3"/>
  <c r="Q15" i="3"/>
  <c r="C16" i="11"/>
  <c r="F161" i="2"/>
  <c r="D235" i="2"/>
  <c r="G20" i="3"/>
  <c r="L20" i="3"/>
  <c r="M20" i="3"/>
  <c r="K20" i="3"/>
  <c r="J20" i="3"/>
  <c r="Q14" i="3"/>
  <c r="C15" i="11"/>
  <c r="F160" i="2"/>
  <c r="D234" i="2"/>
  <c r="D233" i="2"/>
  <c r="D232" i="2"/>
  <c r="D231" i="2"/>
  <c r="G16" i="3"/>
  <c r="L16" i="3"/>
  <c r="M16" i="3"/>
  <c r="K16" i="3"/>
  <c r="J16" i="3"/>
  <c r="Q10" i="3"/>
  <c r="C11" i="11"/>
  <c r="F156" i="2"/>
  <c r="D230" i="2"/>
  <c r="G15" i="3"/>
  <c r="L15" i="3"/>
  <c r="M15" i="3"/>
  <c r="K15" i="3"/>
  <c r="J15" i="3"/>
  <c r="Q9" i="3"/>
  <c r="C10" i="11"/>
  <c r="F155" i="2"/>
  <c r="D229" i="2"/>
  <c r="D228" i="2"/>
  <c r="D227" i="2"/>
  <c r="D226" i="2"/>
  <c r="D225" i="2"/>
  <c r="D224" i="2"/>
  <c r="D223" i="2"/>
  <c r="D222" i="2"/>
  <c r="D221" i="2"/>
  <c r="D242" i="2"/>
  <c r="D243" i="2"/>
  <c r="D270" i="2"/>
  <c r="D268" i="2"/>
  <c r="D279" i="2"/>
  <c r="B114" i="2"/>
  <c r="D269" i="2"/>
  <c r="D280" i="2"/>
  <c r="D129" i="2"/>
  <c r="D127" i="2"/>
  <c r="D125" i="2"/>
  <c r="D212" i="2"/>
  <c r="D213" i="2"/>
  <c r="D214" i="2"/>
  <c r="D215" i="2"/>
  <c r="D216" i="2"/>
  <c r="D211" i="2"/>
  <c r="D217" i="2"/>
  <c r="D123" i="2"/>
  <c r="D205" i="2"/>
  <c r="D206" i="2"/>
  <c r="D207" i="2"/>
  <c r="D121" i="2"/>
  <c r="C2" i="11"/>
  <c r="D119" i="2"/>
  <c r="X17" i="11"/>
  <c r="Y17" i="11"/>
  <c r="D114" i="2"/>
  <c r="X16" i="11"/>
  <c r="Y16" i="11"/>
  <c r="X15" i="11"/>
  <c r="Y15" i="11"/>
  <c r="X14" i="11"/>
  <c r="Y14" i="11"/>
  <c r="X13" i="11"/>
  <c r="Y13" i="11"/>
  <c r="X12" i="11"/>
  <c r="Y12" i="11"/>
  <c r="X11" i="11"/>
  <c r="Y11" i="11"/>
  <c r="C95" i="2"/>
  <c r="C86" i="2"/>
  <c r="C75" i="2"/>
  <c r="G14" i="2"/>
  <c r="G15" i="2"/>
  <c r="C63" i="2"/>
  <c r="C62" i="2"/>
  <c r="C61" i="2"/>
  <c r="C44" i="2"/>
  <c r="C60" i="2"/>
  <c r="D5" i="2"/>
  <c r="O123" i="2"/>
  <c r="O124" i="2"/>
  <c r="O133" i="2"/>
  <c r="O28" i="2"/>
  <c r="D8" i="3"/>
  <c r="D6" i="3"/>
  <c r="D15" i="3"/>
  <c r="D2" i="3"/>
  <c r="D3" i="3"/>
  <c r="D7" i="3"/>
  <c r="D16" i="3"/>
  <c r="D17" i="3"/>
  <c r="D18" i="3"/>
  <c r="O134" i="2"/>
  <c r="D19" i="3"/>
  <c r="D20" i="3"/>
  <c r="O111" i="2"/>
  <c r="D21" i="3"/>
  <c r="D23" i="3"/>
  <c r="D24" i="3"/>
  <c r="D25" i="3"/>
  <c r="D27" i="3"/>
  <c r="D28" i="3"/>
  <c r="D29" i="3"/>
  <c r="L21" i="2"/>
  <c r="M120" i="2"/>
  <c r="L120" i="2"/>
  <c r="O120" i="2"/>
  <c r="O132" i="2"/>
  <c r="O131" i="2"/>
  <c r="O130" i="2"/>
  <c r="M125" i="2"/>
  <c r="L125" i="2"/>
  <c r="O125" i="2"/>
  <c r="M121" i="2"/>
  <c r="L121" i="2"/>
  <c r="O121" i="2"/>
  <c r="O119" i="2"/>
  <c r="O113" i="2"/>
  <c r="O32" i="2"/>
  <c r="O33" i="2"/>
  <c r="O31" i="2"/>
  <c r="O30" i="2"/>
  <c r="O29" i="2"/>
  <c r="N113" i="2"/>
  <c r="N111" i="2"/>
  <c r="N33" i="2"/>
  <c r="N32" i="2"/>
  <c r="N31" i="2"/>
  <c r="N30" i="2"/>
  <c r="N29" i="2"/>
  <c r="N28" i="2"/>
  <c r="N125" i="2"/>
  <c r="N124" i="2"/>
  <c r="N123" i="2"/>
  <c r="N122" i="2"/>
  <c r="N121" i="2"/>
  <c r="N120" i="2"/>
  <c r="G32" i="2"/>
  <c r="J22" i="3"/>
  <c r="J14" i="3"/>
  <c r="J9" i="3"/>
  <c r="C70" i="2"/>
  <c r="C85" i="2"/>
  <c r="C40" i="2"/>
  <c r="C39" i="2"/>
  <c r="D4" i="3"/>
  <c r="D5" i="3"/>
  <c r="D26" i="3"/>
  <c r="D110" i="2"/>
  <c r="G29" i="3"/>
  <c r="C14" i="3"/>
  <c r="G10" i="3"/>
  <c r="D10" i="3"/>
  <c r="G11" i="3"/>
  <c r="D11" i="3"/>
  <c r="G12" i="3"/>
  <c r="D12" i="3"/>
  <c r="G13" i="3"/>
  <c r="D13" i="3"/>
  <c r="D30" i="3"/>
  <c r="E29" i="3"/>
  <c r="R22" i="3"/>
  <c r="F23" i="11"/>
  <c r="E28" i="3"/>
  <c r="R21" i="3"/>
  <c r="F22" i="11"/>
  <c r="E27" i="3"/>
  <c r="R20" i="3"/>
  <c r="F21" i="11"/>
  <c r="E26" i="3"/>
  <c r="R19" i="3"/>
  <c r="F20" i="11"/>
  <c r="E25" i="3"/>
  <c r="R18" i="3"/>
  <c r="F19" i="11"/>
  <c r="E24" i="3"/>
  <c r="R17" i="3"/>
  <c r="F18" i="11"/>
  <c r="E23" i="3"/>
  <c r="R16" i="3"/>
  <c r="F17" i="11"/>
  <c r="E21" i="3"/>
  <c r="R15" i="3"/>
  <c r="F16" i="11"/>
  <c r="E20" i="3"/>
  <c r="R14" i="3"/>
  <c r="F15" i="11"/>
  <c r="E19" i="3"/>
  <c r="R13" i="3"/>
  <c r="F14" i="11"/>
  <c r="E18" i="3"/>
  <c r="R12" i="3"/>
  <c r="F13" i="11"/>
  <c r="E17" i="3"/>
  <c r="R11" i="3"/>
  <c r="F12" i="11"/>
  <c r="E16" i="3"/>
  <c r="R10" i="3"/>
  <c r="F11" i="11"/>
  <c r="E15" i="3"/>
  <c r="R9" i="3"/>
  <c r="F10" i="11"/>
  <c r="E8" i="3"/>
  <c r="R8" i="3"/>
  <c r="F9" i="11"/>
  <c r="E7" i="3"/>
  <c r="R7" i="3"/>
  <c r="F8" i="11"/>
  <c r="E6" i="3"/>
  <c r="R6" i="3"/>
  <c r="F7" i="11"/>
  <c r="E5" i="3"/>
  <c r="R5" i="3"/>
  <c r="F6" i="11"/>
  <c r="E4" i="3"/>
  <c r="R4" i="3"/>
  <c r="F5" i="11"/>
  <c r="E3" i="3"/>
  <c r="R3" i="3"/>
  <c r="F4" i="11"/>
  <c r="E2" i="3"/>
  <c r="R2" i="3"/>
  <c r="F3" i="11"/>
  <c r="E13" i="3"/>
  <c r="E12" i="3"/>
  <c r="E11" i="3"/>
  <c r="E10" i="3"/>
  <c r="L29" i="3"/>
  <c r="M29" i="3"/>
  <c r="K29" i="3"/>
  <c r="J29" i="3"/>
  <c r="Q22" i="3"/>
  <c r="L13" i="3"/>
  <c r="M13" i="3"/>
  <c r="K13" i="3"/>
  <c r="J13" i="3"/>
  <c r="L12" i="3"/>
  <c r="M12" i="3"/>
  <c r="K12" i="3"/>
  <c r="J12" i="3"/>
  <c r="L11" i="3"/>
  <c r="M11" i="3"/>
  <c r="K11" i="3"/>
  <c r="J11" i="3"/>
  <c r="L10" i="3"/>
  <c r="M10" i="3"/>
  <c r="K10" i="3"/>
  <c r="J10" i="3"/>
  <c r="H32" i="3"/>
</calcChain>
</file>

<file path=xl/sharedStrings.xml><?xml version="1.0" encoding="utf-8"?>
<sst xmlns="http://schemas.openxmlformats.org/spreadsheetml/2006/main" count="573" uniqueCount="252">
  <si>
    <t>Accommodation</t>
  </si>
  <si>
    <t>Restoration</t>
  </si>
  <si>
    <t>Night live</t>
  </si>
  <si>
    <t>Leisure and wellness</t>
  </si>
  <si>
    <t>Culture</t>
  </si>
  <si>
    <t>Fashion Shops</t>
  </si>
  <si>
    <t>Luxury shops (Jewelry, perfume, tobacco...)</t>
  </si>
  <si>
    <t>Shopping Centers</t>
  </si>
  <si>
    <t>Technology shops (Vehicle,  Electronics)</t>
  </si>
  <si>
    <t>Super Markets</t>
  </si>
  <si>
    <t>Banks</t>
  </si>
  <si>
    <t>Educational</t>
  </si>
  <si>
    <t>Post offices</t>
  </si>
  <si>
    <t>Working places</t>
  </si>
  <si>
    <t>Amenities</t>
  </si>
  <si>
    <t>Amenity in the radar</t>
  </si>
  <si>
    <t>Threshold (Person/Amenity)</t>
  </si>
  <si>
    <t>Total</t>
  </si>
  <si>
    <t>Number of people  per amenitie</t>
  </si>
  <si>
    <t>Total number of amenities needed</t>
  </si>
  <si>
    <t>You have</t>
  </si>
  <si>
    <t>You need</t>
  </si>
  <si>
    <t>Residentia</t>
  </si>
  <si>
    <t>Employment</t>
  </si>
  <si>
    <t>3rd places (day)</t>
  </si>
  <si>
    <t>3rd places (Night)</t>
  </si>
  <si>
    <t>Cultural</t>
  </si>
  <si>
    <t>Co-working</t>
  </si>
  <si>
    <t>3rd places Total</t>
  </si>
  <si>
    <t>Amenity Waleed</t>
  </si>
  <si>
    <t>Supermarket</t>
  </si>
  <si>
    <t>Bar</t>
  </si>
  <si>
    <t>Restaurant</t>
  </si>
  <si>
    <t>Baker</t>
  </si>
  <si>
    <t>Nightclub</t>
  </si>
  <si>
    <t>Pharmacy</t>
  </si>
  <si>
    <t>Bookstore</t>
  </si>
  <si>
    <t>Art Gallery</t>
  </si>
  <si>
    <t>Indicators</t>
  </si>
  <si>
    <t>Statistics</t>
  </si>
  <si>
    <t>Density</t>
  </si>
  <si>
    <t>Energy</t>
  </si>
  <si>
    <t>Building Energy Efficiency (Consumption)</t>
  </si>
  <si>
    <t>Embodied Building Energy</t>
  </si>
  <si>
    <t>Mobility Energy Efficiency (Consumption)</t>
  </si>
  <si>
    <t>Embodied Mobility Energy</t>
  </si>
  <si>
    <t>Proximity</t>
  </si>
  <si>
    <t>Access to Parks</t>
  </si>
  <si>
    <t>Access to public Transport</t>
  </si>
  <si>
    <t>Intersection Density</t>
  </si>
  <si>
    <t>Access to look-out (Police)</t>
  </si>
  <si>
    <t>Access to Healthy food</t>
  </si>
  <si>
    <t>Access to Sports (Leisure and wellness)</t>
  </si>
  <si>
    <t xml:space="preserve">Access to Healthcare </t>
  </si>
  <si>
    <t>Diversity</t>
  </si>
  <si>
    <t>Residential</t>
  </si>
  <si>
    <t>Residential/Employment (Ratio)</t>
  </si>
  <si>
    <t>3rd Places</t>
  </si>
  <si>
    <t>Number</t>
  </si>
  <si>
    <t>people</t>
  </si>
  <si>
    <t>Total Number</t>
  </si>
  <si>
    <t>Kendall</t>
  </si>
  <si>
    <t>Hotels</t>
  </si>
  <si>
    <t>Restaurants</t>
  </si>
  <si>
    <t>Area</t>
  </si>
  <si>
    <t>Km2</t>
  </si>
  <si>
    <t>People Working</t>
  </si>
  <si>
    <t>Residents</t>
  </si>
  <si>
    <t>Number of Parks</t>
  </si>
  <si>
    <t>Number of public Transport stops (Bus, T, etc.)</t>
  </si>
  <si>
    <t>Number of Sports places (Leisure and wellness)</t>
  </si>
  <si>
    <t>Number of Healthy food shops</t>
  </si>
  <si>
    <t>Number of police and security elements</t>
  </si>
  <si>
    <t>Kwh</t>
  </si>
  <si>
    <t xml:space="preserve">Number of Amenities  </t>
  </si>
  <si>
    <t>Infraestructure</t>
  </si>
  <si>
    <t>Normalization</t>
  </si>
  <si>
    <t>We normalize to 1 Km2</t>
  </si>
  <si>
    <t>Units</t>
  </si>
  <si>
    <t>Extra Definition</t>
  </si>
  <si>
    <t xml:space="preserve">Number </t>
  </si>
  <si>
    <t>Clothing only</t>
  </si>
  <si>
    <t>Both station and emergency alarm box</t>
  </si>
  <si>
    <t>US$ / Month</t>
  </si>
  <si>
    <t>Gender Diversity</t>
  </si>
  <si>
    <t>Male</t>
  </si>
  <si>
    <t>Female</t>
  </si>
  <si>
    <t>Type of Housing</t>
  </si>
  <si>
    <t>Overall</t>
  </si>
  <si>
    <t>Simpson's index</t>
  </si>
  <si>
    <t>(1-D) 1 = Momoculture</t>
  </si>
  <si>
    <t>Managers and administrators</t>
  </si>
  <si>
    <t>Professionals</t>
  </si>
  <si>
    <t>Associate professionals</t>
  </si>
  <si>
    <t>Clerical support workers</t>
  </si>
  <si>
    <t>Service and sales workers</t>
  </si>
  <si>
    <t>Craft and related workers</t>
  </si>
  <si>
    <t>Plant and machine operators and assemblers</t>
  </si>
  <si>
    <t>Elementary occupations</t>
  </si>
  <si>
    <t>Skilled agricultural and fishery workers; and occupations not classifiable</t>
  </si>
  <si>
    <t>Ocupation</t>
  </si>
  <si>
    <t>% of diversity</t>
  </si>
  <si>
    <t>Employment /Residential (Ratio)</t>
  </si>
  <si>
    <t>Total Amenities</t>
  </si>
  <si>
    <t>Diversity of Amenities</t>
  </si>
  <si>
    <t>Cultural diversity</t>
  </si>
  <si>
    <t>Libraries</t>
  </si>
  <si>
    <t>museum</t>
  </si>
  <si>
    <t>cinemas</t>
  </si>
  <si>
    <t>Art-galery</t>
  </si>
  <si>
    <t>Educational diversity</t>
  </si>
  <si>
    <t>Universities</t>
  </si>
  <si>
    <t>Kindergarden</t>
  </si>
  <si>
    <t>Profesional training</t>
  </si>
  <si>
    <t>Gender</t>
  </si>
  <si>
    <t>%</t>
  </si>
  <si>
    <t>MAX</t>
  </si>
  <si>
    <t>MIN</t>
  </si>
  <si>
    <t>max</t>
  </si>
  <si>
    <t>General %</t>
  </si>
  <si>
    <t>MAX MONACO</t>
  </si>
  <si>
    <t>RADAR</t>
  </si>
  <si>
    <t>Average Income in the city</t>
  </si>
  <si>
    <t>Total Amenities with the mix (you have)</t>
  </si>
  <si>
    <t>Impacts of the Amenities in the rada</t>
  </si>
  <si>
    <t>Other amenities and urban elements</t>
  </si>
  <si>
    <t>Threshold (Person/amenity)</t>
  </si>
  <si>
    <t>you need</t>
  </si>
  <si>
    <t>Number of public Transport stops</t>
  </si>
  <si>
    <t>Number of  Police</t>
  </si>
  <si>
    <t>Number of  Healthy food</t>
  </si>
  <si>
    <t>Number of Sports  places (Leisure and wellness)</t>
  </si>
  <si>
    <t xml:space="preserve">Number of Healthcare </t>
  </si>
  <si>
    <t>MacDonnell Road</t>
  </si>
  <si>
    <t xml:space="preserve">Building Energy </t>
  </si>
  <si>
    <t>Mobility Energy</t>
  </si>
  <si>
    <t>Social Wellbeing</t>
  </si>
  <si>
    <t>Innovation Potential</t>
  </si>
  <si>
    <t>Safety &amp; Security</t>
  </si>
  <si>
    <t>Output</t>
  </si>
  <si>
    <t>Pharmacies, dental, eyecare,  gyms,  spas, clinic, daycare, hospital, nurseryetc</t>
  </si>
  <si>
    <t>Libraries, museum, cinemas, Bookstore, Art-galery, etc</t>
  </si>
  <si>
    <t>Jewelry, perfume, tobacco, etc</t>
  </si>
  <si>
    <t>Vehicle, car sales,  electronics, Appel, hardware store, computer, etc</t>
  </si>
  <si>
    <t>Super Market, Markets, Food, convenience, etc</t>
  </si>
  <si>
    <t>Banks, Including ATMs as well as classic branch office</t>
  </si>
  <si>
    <t>Post offices Including FedEx, UPS stores but not mailboxes</t>
  </si>
  <si>
    <t>Accelerators, co-working, fab lab, etc</t>
  </si>
  <si>
    <r>
      <rPr>
        <sz val="12"/>
        <rFont val="Calibri (Cuerpo)"/>
      </rPr>
      <t>Census.</t>
    </r>
    <r>
      <rPr>
        <sz val="12"/>
        <rFont val="Calibri"/>
        <family val="2"/>
        <scheme val="minor"/>
      </rPr>
      <t xml:space="preserve"> All employed in area, including commuters</t>
    </r>
  </si>
  <si>
    <r>
      <rPr>
        <sz val="12"/>
        <rFont val="Calibri (Cuerpo)"/>
      </rPr>
      <t xml:space="preserve">Census. </t>
    </r>
    <r>
      <rPr>
        <sz val="12"/>
        <rFont val="Calibri"/>
        <family val="2"/>
        <scheme val="minor"/>
      </rPr>
      <t>All living in area, including those who work elsewhere</t>
    </r>
  </si>
  <si>
    <r>
      <rPr>
        <sz val="12"/>
        <rFont val="Calibri (Cuerpo)"/>
      </rPr>
      <t xml:space="preserve"> Hotels. </t>
    </r>
    <r>
      <rPr>
        <sz val="12"/>
        <rFont val="Calibri"/>
        <family val="2"/>
        <scheme val="minor"/>
      </rPr>
      <t>Not counting AirBnb yet…</t>
    </r>
  </si>
  <si>
    <r>
      <rPr>
        <sz val="12"/>
        <rFont val="Calibri (Cuerpo)"/>
      </rPr>
      <t>Restaurantes .</t>
    </r>
    <r>
      <rPr>
        <sz val="12"/>
        <rFont val="Calibri"/>
        <family val="2"/>
        <scheme val="minor"/>
      </rPr>
      <t xml:space="preserve"> All public venues for breakfast, lunch, and/or dinner</t>
    </r>
  </si>
  <si>
    <r>
      <rPr>
        <sz val="12"/>
        <rFont val="Calibri (Cuerpo)"/>
      </rPr>
      <t xml:space="preserve"> Nightclub, Bars,</t>
    </r>
    <r>
      <rPr>
        <sz val="12"/>
        <rFont val="Calibri"/>
        <family val="2"/>
        <scheme val="minor"/>
      </rPr>
      <t xml:space="preserve"> music and other entertainment venues, including the club aspect of restaurants</t>
    </r>
  </si>
  <si>
    <r>
      <t xml:space="preserve">Any branded cluster of multiple shops, restaurants, </t>
    </r>
    <r>
      <rPr>
        <sz val="12"/>
        <rFont val="Calibri (Cuerpo)"/>
      </rPr>
      <t>Shopping Centers</t>
    </r>
    <r>
      <rPr>
        <sz val="12"/>
        <rFont val="Calibri"/>
        <family val="2"/>
        <scheme val="minor"/>
      </rPr>
      <t xml:space="preserve">, </t>
    </r>
    <r>
      <rPr>
        <sz val="12"/>
        <rFont val="Calibri (Cuerpo)"/>
      </rPr>
      <t>Malls,</t>
    </r>
    <r>
      <rPr>
        <sz val="12"/>
        <rFont val="Calibri"/>
        <family val="2"/>
        <scheme val="minor"/>
      </rPr>
      <t xml:space="preserve"> etc</t>
    </r>
  </si>
  <si>
    <t>Count all distinct lines at each stop, Bus stops, bus lines, Train stops, train lines, tram, tram stops, ships...</t>
  </si>
  <si>
    <t>Decatur = 37,4</t>
  </si>
  <si>
    <t>Downtown = 90,4</t>
  </si>
  <si>
    <t>Buckhead = 26,73</t>
  </si>
  <si>
    <t>Virginia Highland = 31,8</t>
  </si>
  <si>
    <t>Fairburn = 11,9</t>
  </si>
  <si>
    <t>Distinguish from the more general number above,  vegetarian restaurant, green shops (natural food)</t>
  </si>
  <si>
    <r>
      <rPr>
        <sz val="12"/>
        <rFont val="Calibri (Cuerpo)"/>
      </rPr>
      <t>Parks.</t>
    </r>
    <r>
      <rPr>
        <sz val="12"/>
        <rFont val="Calibri"/>
        <family val="2"/>
        <scheme val="minor"/>
      </rPr>
      <t xml:space="preserve"> Greenspacea that are publically accessible and distinct from building and sidewalk landscape</t>
    </r>
  </si>
  <si>
    <t>NAME of the city</t>
  </si>
  <si>
    <t>NAME of the district</t>
  </si>
  <si>
    <t>Hong Kong</t>
  </si>
  <si>
    <t>Macdonnell RD</t>
  </si>
  <si>
    <t>Google it</t>
  </si>
  <si>
    <t>Total people = district users</t>
  </si>
  <si>
    <t>Public rental housing</t>
  </si>
  <si>
    <t>Subsidised home ownership housing</t>
  </si>
  <si>
    <t>Private permanent housing</t>
  </si>
  <si>
    <t>Non-domestic housing</t>
  </si>
  <si>
    <t>Temporary housing</t>
  </si>
  <si>
    <t>Shannon's index</t>
  </si>
  <si>
    <t>Families/individuals</t>
  </si>
  <si>
    <t>DIVERSITY</t>
  </si>
  <si>
    <t>RESIDENTIAL DIVERSITY</t>
  </si>
  <si>
    <t>Residential diversity</t>
  </si>
  <si>
    <t>Employment diversity</t>
  </si>
  <si>
    <t>EMPLOYMENT DIVERSITY</t>
  </si>
  <si>
    <t>Other…</t>
  </si>
  <si>
    <t>Others 1</t>
  </si>
  <si>
    <t>Others 2</t>
  </si>
  <si>
    <t>Others 3</t>
  </si>
  <si>
    <t>Benchmark</t>
  </si>
  <si>
    <t>CULTURAL DIVERSITY</t>
  </si>
  <si>
    <t>Schools</t>
  </si>
  <si>
    <t>EDUCATIONAL DIVERSITY</t>
  </si>
  <si>
    <t xml:space="preserve">Other </t>
  </si>
  <si>
    <t>GENDER DIVERSITY</t>
  </si>
  <si>
    <t>DIVERSITY OUTPUTS</t>
  </si>
  <si>
    <t>URBAN DIVERSITY</t>
  </si>
  <si>
    <t>Average Income in the District</t>
  </si>
  <si>
    <t xml:space="preserve">% Income in the distric </t>
  </si>
  <si>
    <t>URBAN INDICATORS</t>
  </si>
  <si>
    <t>URBAN INCOME</t>
  </si>
  <si>
    <t>BUILDING ENERGY</t>
  </si>
  <si>
    <t>MOBILITY ENERGY</t>
  </si>
  <si>
    <t>INNOVATION POTENTIAL</t>
  </si>
  <si>
    <t>SAFETY AND SECURITY</t>
  </si>
  <si>
    <t>Density (in the city-community) Affects us.</t>
  </si>
  <si>
    <t>6000 people per Km2 = Slum</t>
  </si>
  <si>
    <t>5000 people per Km2 = NY</t>
  </si>
  <si>
    <t>3000 people per Km2 = Paris</t>
  </si>
  <si>
    <t>1600 USA</t>
  </si>
  <si>
    <t>5700 America Latina</t>
  </si>
  <si>
    <t>Asia and Africa 7000</t>
  </si>
  <si>
    <t>1400 Australia</t>
  </si>
  <si>
    <t>Europe 3200</t>
  </si>
  <si>
    <t>People commuting</t>
  </si>
  <si>
    <t>W</t>
  </si>
  <si>
    <t>L</t>
  </si>
  <si>
    <t>T</t>
  </si>
  <si>
    <t>A</t>
  </si>
  <si>
    <t>Commuters into the neighborhood to work</t>
  </si>
  <si>
    <t>Commuters out of the neighborhood to work</t>
  </si>
  <si>
    <t xml:space="preserve">People living and working in the neighborhood </t>
  </si>
  <si>
    <t>p/km2</t>
  </si>
  <si>
    <t>http://www.newgeography.com/content/003004-evolving-urban-form-dhaka</t>
  </si>
  <si>
    <t>Dhaka 56000 P/km2</t>
  </si>
  <si>
    <t>Hong Kong 27000 P/km2</t>
  </si>
  <si>
    <t>Manila 14000 P/km2</t>
  </si>
  <si>
    <t>NY 5000 P/km2</t>
  </si>
  <si>
    <t>Seoul 10000 P/km2</t>
  </si>
  <si>
    <t>Paris 3000 P/km2</t>
  </si>
  <si>
    <t>Atlanta 1999 P/km2</t>
  </si>
  <si>
    <t>Very low density</t>
  </si>
  <si>
    <t>Potential efficiency based on density</t>
  </si>
  <si>
    <t>People living and working in the district</t>
  </si>
  <si>
    <t>Total energy building energy</t>
  </si>
  <si>
    <t>Total energy mobility energy</t>
  </si>
  <si>
    <t>Residential density</t>
  </si>
  <si>
    <t>Office  density</t>
  </si>
  <si>
    <t>3rd places (day)  density</t>
  </si>
  <si>
    <t>3rd places (Night)  density</t>
  </si>
  <si>
    <t>Co-working  density</t>
  </si>
  <si>
    <t>Total Social wellbeing</t>
  </si>
  <si>
    <t>SOCIAL WELLBEING</t>
  </si>
  <si>
    <t>Social wellbeing</t>
  </si>
  <si>
    <t>Safety and security</t>
  </si>
  <si>
    <t>Total safety and security</t>
  </si>
  <si>
    <t>Total innovation potential</t>
  </si>
  <si>
    <t>All street crossings, both car, bike, and pedestrian (Choose a number depending on how similar is your district to the following districts:</t>
  </si>
  <si>
    <t>Districts. Intersection density:</t>
  </si>
  <si>
    <t>Urban Diversity</t>
  </si>
  <si>
    <t>Urban Income</t>
  </si>
  <si>
    <t>Benchmark. Mediterranean compact city</t>
  </si>
  <si>
    <t>Density similar to:</t>
  </si>
  <si>
    <t>Commute:</t>
  </si>
  <si>
    <t>Specifically gyms and sport facilities, Gyms, sport shops</t>
  </si>
  <si>
    <r>
      <t xml:space="preserve">Specifically, </t>
    </r>
    <r>
      <rPr>
        <sz val="12"/>
        <rFont val="Calibri (Cuerpo)"/>
      </rPr>
      <t>hospitals, clinics and Pharmacies daycare, nursery</t>
    </r>
  </si>
  <si>
    <t>All grades K-24, schools, Universities, Kindergarden, Profesional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</si>
</sst>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sz val="1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rgb="FF92D05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.4"/>
      <color rgb="FF000000"/>
      <name val="Arial"/>
    </font>
    <font>
      <sz val="6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9" tint="-0.249977111117893"/>
      <name val="Calibri"/>
      <scheme val="minor"/>
    </font>
    <font>
      <sz val="12"/>
      <name val="Calibri (Cuerpo)"/>
    </font>
    <font>
      <i/>
      <sz val="12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14999847407452621"/>
      <name val="Calibri"/>
      <scheme val="minor"/>
    </font>
    <font>
      <sz val="12"/>
      <color theme="1" tint="0.14999847407452621"/>
      <name val="Calibri"/>
      <scheme val="minor"/>
    </font>
    <font>
      <sz val="8"/>
      <color theme="0"/>
      <name val="Calibri"/>
      <scheme val="minor"/>
    </font>
    <font>
      <b/>
      <sz val="10"/>
      <color theme="0"/>
      <name val="Calibri"/>
      <scheme val="minor"/>
    </font>
    <font>
      <b/>
      <sz val="8.4"/>
      <color theme="0"/>
      <name val="Arial"/>
    </font>
    <font>
      <sz val="12"/>
      <color theme="0"/>
      <name val="Arial"/>
      <family val="2"/>
    </font>
    <font>
      <sz val="11"/>
      <color theme="0"/>
      <name val="Arial"/>
    </font>
    <font>
      <b/>
      <sz val="14"/>
      <color theme="0"/>
      <name val="Calibri"/>
      <scheme val="minor"/>
    </font>
    <font>
      <sz val="12"/>
      <color theme="0" tint="-4.9989318521683403E-2"/>
      <name val="Calibri"/>
      <family val="2"/>
      <scheme val="minor"/>
    </font>
    <font>
      <b/>
      <sz val="20"/>
      <color theme="1" tint="0.499984740745262"/>
      <name val="Calibri"/>
      <scheme val="minor"/>
    </font>
    <font>
      <b/>
      <sz val="20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4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2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2" borderId="1" xfId="0" applyNumberFormat="1" applyFont="1" applyFill="1" applyBorder="1" applyAlignment="1">
      <alignment vertical="center" wrapText="1"/>
    </xf>
    <xf numFmtId="0" fontId="0" fillId="4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2" fontId="3" fillId="2" borderId="2" xfId="0" applyNumberFormat="1" applyFont="1" applyFill="1" applyBorder="1" applyAlignment="1">
      <alignment vertical="center" wrapText="1"/>
    </xf>
    <xf numFmtId="2" fontId="4" fillId="2" borderId="2" xfId="0" applyNumberFormat="1" applyFont="1" applyFill="1" applyBorder="1" applyAlignment="1">
      <alignment vertical="center" wrapText="1"/>
    </xf>
    <xf numFmtId="2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wrapText="1"/>
    </xf>
    <xf numFmtId="165" fontId="1" fillId="0" borderId="0" xfId="0" applyNumberFormat="1" applyFont="1" applyBorder="1" applyAlignment="1">
      <alignment wrapText="1"/>
    </xf>
    <xf numFmtId="0" fontId="1" fillId="4" borderId="0" xfId="0" applyNumberFormat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2" fontId="1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2" fontId="4" fillId="2" borderId="2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Border="1" applyAlignment="1">
      <alignment wrapText="1"/>
    </xf>
    <xf numFmtId="165" fontId="18" fillId="0" borderId="0" xfId="0" applyNumberFormat="1" applyFont="1" applyBorder="1" applyAlignment="1">
      <alignment wrapText="1"/>
    </xf>
    <xf numFmtId="0" fontId="3" fillId="2" borderId="6" xfId="0" applyNumberFormat="1" applyFont="1" applyFill="1" applyBorder="1" applyAlignment="1">
      <alignment vertical="center" wrapText="1"/>
    </xf>
    <xf numFmtId="2" fontId="7" fillId="0" borderId="0" xfId="0" applyNumberFormat="1" applyFont="1" applyBorder="1" applyAlignment="1">
      <alignment wrapText="1"/>
    </xf>
    <xf numFmtId="2" fontId="3" fillId="2" borderId="5" xfId="0" applyNumberFormat="1" applyFont="1" applyFill="1" applyBorder="1" applyAlignment="1">
      <alignment vertical="center" wrapText="1"/>
    </xf>
    <xf numFmtId="0" fontId="16" fillId="0" borderId="12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6" borderId="0" xfId="0" applyFill="1" applyBorder="1"/>
    <xf numFmtId="0" fontId="0" fillId="6" borderId="0" xfId="0" applyNumberFormat="1" applyFill="1" applyBorder="1"/>
    <xf numFmtId="0" fontId="9" fillId="6" borderId="0" xfId="0" applyNumberFormat="1" applyFont="1" applyFill="1" applyBorder="1" applyAlignment="1">
      <alignment horizontal="right" wrapText="1"/>
    </xf>
    <xf numFmtId="0" fontId="22" fillId="6" borderId="0" xfId="0" applyNumberFormat="1" applyFont="1" applyFill="1" applyBorder="1" applyAlignment="1">
      <alignment vertical="center" wrapText="1"/>
    </xf>
    <xf numFmtId="0" fontId="23" fillId="6" borderId="0" xfId="0" applyNumberFormat="1" applyFont="1" applyFill="1" applyBorder="1"/>
    <xf numFmtId="0" fontId="23" fillId="6" borderId="0" xfId="0" applyFont="1" applyFill="1" applyBorder="1"/>
    <xf numFmtId="0" fontId="22" fillId="6" borderId="0" xfId="0" applyNumberFormat="1" applyFont="1" applyFill="1" applyBorder="1" applyAlignment="1">
      <alignment horizontal="right" wrapText="1"/>
    </xf>
    <xf numFmtId="0" fontId="23" fillId="6" borderId="0" xfId="0" applyNumberFormat="1" applyFont="1" applyFill="1" applyBorder="1" applyAlignment="1">
      <alignment vertical="center" wrapText="1"/>
    </xf>
    <xf numFmtId="2" fontId="23" fillId="6" borderId="0" xfId="0" applyNumberFormat="1" applyFont="1" applyFill="1" applyBorder="1" applyAlignment="1">
      <alignment vertical="center" wrapText="1"/>
    </xf>
    <xf numFmtId="2" fontId="23" fillId="6" borderId="0" xfId="0" applyNumberFormat="1" applyFont="1" applyFill="1" applyBorder="1" applyAlignment="1">
      <alignment wrapText="1"/>
    </xf>
    <xf numFmtId="0" fontId="4" fillId="6" borderId="0" xfId="0" applyNumberFormat="1" applyFont="1" applyFill="1" applyBorder="1" applyAlignment="1">
      <alignment vertical="center" wrapText="1"/>
    </xf>
    <xf numFmtId="0" fontId="8" fillId="6" borderId="0" xfId="0" applyNumberFormat="1" applyFont="1" applyFill="1" applyBorder="1"/>
    <xf numFmtId="0" fontId="2" fillId="6" borderId="0" xfId="0" applyFont="1" applyFill="1" applyBorder="1"/>
    <xf numFmtId="0" fontId="5" fillId="6" borderId="0" xfId="0" applyFont="1" applyFill="1" applyBorder="1"/>
    <xf numFmtId="0" fontId="0" fillId="4" borderId="0" xfId="0" applyFill="1" applyBorder="1"/>
    <xf numFmtId="0" fontId="21" fillId="4" borderId="0" xfId="0" applyNumberFormat="1" applyFont="1" applyFill="1" applyBorder="1" applyAlignment="1">
      <alignment vertical="center" wrapText="1"/>
    </xf>
    <xf numFmtId="0" fontId="21" fillId="4" borderId="0" xfId="0" applyNumberFormat="1" applyFont="1" applyFill="1" applyBorder="1"/>
    <xf numFmtId="0" fontId="15" fillId="4" borderId="0" xfId="0" applyNumberFormat="1" applyFont="1" applyFill="1" applyBorder="1"/>
    <xf numFmtId="0" fontId="15" fillId="4" borderId="0" xfId="0" applyFont="1" applyFill="1" applyBorder="1"/>
    <xf numFmtId="0" fontId="15" fillId="4" borderId="0" xfId="0" applyNumberFormat="1" applyFont="1" applyFill="1" applyBorder="1" applyAlignment="1">
      <alignment vertical="center" wrapText="1"/>
    </xf>
    <xf numFmtId="0" fontId="21" fillId="4" borderId="0" xfId="0" applyNumberFormat="1" applyFont="1" applyFill="1" applyBorder="1" applyAlignment="1">
      <alignment horizontal="center" vertical="center" textRotation="90" wrapText="1"/>
    </xf>
    <xf numFmtId="0" fontId="15" fillId="4" borderId="0" xfId="0" applyNumberFormat="1" applyFont="1" applyFill="1" applyBorder="1" applyAlignment="1">
      <alignment horizontal="right"/>
    </xf>
    <xf numFmtId="0" fontId="24" fillId="4" borderId="0" xfId="0" applyNumberFormat="1" applyFont="1" applyFill="1" applyBorder="1"/>
    <xf numFmtId="2" fontId="15" fillId="4" borderId="0" xfId="0" applyNumberFormat="1" applyFont="1" applyFill="1" applyBorder="1"/>
    <xf numFmtId="0" fontId="21" fillId="4" borderId="0" xfId="0" applyNumberFormat="1" applyFont="1" applyFill="1" applyBorder="1" applyAlignment="1">
      <alignment vertical="center" textRotation="90" wrapText="1"/>
    </xf>
    <xf numFmtId="0" fontId="0" fillId="4" borderId="0" xfId="0" applyFont="1" applyFill="1" applyAlignment="1">
      <alignment wrapText="1"/>
    </xf>
    <xf numFmtId="0" fontId="0" fillId="4" borderId="0" xfId="0" applyNumberFormat="1" applyFill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0" fillId="4" borderId="0" xfId="0" applyFill="1" applyBorder="1" applyAlignment="1">
      <alignment wrapText="1"/>
    </xf>
    <xf numFmtId="0" fontId="15" fillId="4" borderId="0" xfId="0" applyFont="1" applyFill="1" applyAlignment="1">
      <alignment wrapText="1"/>
    </xf>
    <xf numFmtId="0" fontId="15" fillId="4" borderId="0" xfId="0" applyFont="1" applyFill="1" applyBorder="1" applyAlignment="1">
      <alignment wrapText="1"/>
    </xf>
    <xf numFmtId="0" fontId="26" fillId="4" borderId="0" xfId="0" applyFont="1" applyFill="1" applyBorder="1"/>
    <xf numFmtId="0" fontId="15" fillId="4" borderId="0" xfId="0" applyNumberFormat="1" applyFont="1" applyFill="1" applyBorder="1" applyAlignment="1">
      <alignment wrapText="1"/>
    </xf>
    <xf numFmtId="2" fontId="25" fillId="4" borderId="0" xfId="0" applyNumberFormat="1" applyFont="1" applyFill="1" applyBorder="1" applyAlignment="1">
      <alignment vertical="center" wrapText="1"/>
    </xf>
    <xf numFmtId="0" fontId="15" fillId="4" borderId="0" xfId="0" applyFont="1" applyFill="1" applyBorder="1" applyAlignment="1">
      <alignment vertical="center" wrapText="1"/>
    </xf>
    <xf numFmtId="2" fontId="21" fillId="4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wrapText="1"/>
    </xf>
    <xf numFmtId="0" fontId="0" fillId="4" borderId="0" xfId="0" applyFill="1" applyAlignment="1">
      <alignment vertical="center" wrapText="1"/>
    </xf>
    <xf numFmtId="2" fontId="0" fillId="4" borderId="0" xfId="0" applyNumberFormat="1" applyFill="1" applyBorder="1" applyAlignment="1">
      <alignment wrapText="1"/>
    </xf>
    <xf numFmtId="0" fontId="0" fillId="4" borderId="0" xfId="0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Alignment="1">
      <alignment wrapText="1"/>
    </xf>
    <xf numFmtId="0" fontId="19" fillId="4" borderId="0" xfId="0" applyFont="1" applyFill="1" applyBorder="1" applyAlignment="1">
      <alignment wrapText="1"/>
    </xf>
    <xf numFmtId="0" fontId="13" fillId="4" borderId="0" xfId="0" applyFont="1" applyFill="1" applyBorder="1" applyAlignment="1">
      <alignment wrapText="1"/>
    </xf>
    <xf numFmtId="0" fontId="21" fillId="4" borderId="0" xfId="0" applyFont="1" applyFill="1" applyBorder="1" applyAlignment="1">
      <alignment vertical="center" wrapText="1"/>
    </xf>
    <xf numFmtId="2" fontId="15" fillId="4" borderId="0" xfId="0" applyNumberFormat="1" applyFont="1" applyFill="1" applyAlignment="1">
      <alignment wrapText="1"/>
    </xf>
    <xf numFmtId="2" fontId="15" fillId="4" borderId="0" xfId="0" applyNumberFormat="1" applyFont="1" applyFill="1" applyBorder="1" applyAlignment="1">
      <alignment wrapText="1"/>
    </xf>
    <xf numFmtId="2" fontId="15" fillId="4" borderId="0" xfId="0" applyNumberFormat="1" applyFont="1" applyFill="1" applyBorder="1" applyAlignment="1">
      <alignment vertical="center" wrapText="1"/>
    </xf>
    <xf numFmtId="2" fontId="21" fillId="4" borderId="0" xfId="0" applyNumberFormat="1" applyFont="1" applyFill="1" applyBorder="1" applyAlignment="1">
      <alignment wrapText="1"/>
    </xf>
    <xf numFmtId="164" fontId="21" fillId="4" borderId="0" xfId="0" applyNumberFormat="1" applyFont="1" applyFill="1" applyBorder="1" applyAlignment="1">
      <alignment vertical="center" wrapText="1"/>
    </xf>
    <xf numFmtId="0" fontId="27" fillId="4" borderId="0" xfId="0" applyNumberFormat="1" applyFont="1" applyFill="1" applyBorder="1" applyAlignment="1">
      <alignment horizontal="right" vertical="center" wrapText="1"/>
    </xf>
    <xf numFmtId="0" fontId="15" fillId="4" borderId="0" xfId="0" applyNumberFormat="1" applyFont="1" applyFill="1" applyBorder="1" applyAlignment="1">
      <alignment vertical="center"/>
    </xf>
    <xf numFmtId="0" fontId="15" fillId="7" borderId="0" xfId="0" applyNumberFormat="1" applyFont="1" applyFill="1" applyBorder="1" applyAlignment="1">
      <alignment vertical="center" wrapText="1"/>
    </xf>
    <xf numFmtId="0" fontId="26" fillId="4" borderId="0" xfId="0" applyFont="1" applyFill="1" applyBorder="1" applyAlignment="1">
      <alignment vertical="center"/>
    </xf>
    <xf numFmtId="0" fontId="15" fillId="4" borderId="0" xfId="0" applyFont="1" applyFill="1" applyBorder="1" applyAlignment="1">
      <alignment horizontal="left" vertical="center" wrapText="1"/>
    </xf>
    <xf numFmtId="0" fontId="28" fillId="4" borderId="0" xfId="0" applyFont="1" applyFill="1" applyBorder="1"/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wrapText="1"/>
    </xf>
    <xf numFmtId="0" fontId="4" fillId="3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0" fillId="4" borderId="0" xfId="0" applyNumberForma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right" vertical="center" wrapText="1"/>
    </xf>
    <xf numFmtId="0" fontId="1" fillId="4" borderId="0" xfId="0" applyFont="1" applyFill="1" applyBorder="1" applyAlignment="1">
      <alignment wrapText="1"/>
    </xf>
    <xf numFmtId="165" fontId="1" fillId="4" borderId="0" xfId="0" applyNumberFormat="1" applyFont="1" applyFill="1" applyBorder="1" applyAlignment="1">
      <alignment wrapText="1"/>
    </xf>
    <xf numFmtId="0" fontId="29" fillId="6" borderId="0" xfId="0" applyNumberFormat="1" applyFont="1" applyFill="1" applyBorder="1" applyAlignment="1">
      <alignment vertical="center"/>
    </xf>
    <xf numFmtId="0" fontId="29" fillId="6" borderId="0" xfId="0" applyNumberFormat="1" applyFont="1" applyFill="1" applyBorder="1" applyAlignment="1">
      <alignment vertical="center" wrapText="1"/>
    </xf>
    <xf numFmtId="0" fontId="30" fillId="4" borderId="0" xfId="0" applyFont="1" applyFill="1" applyBorder="1" applyAlignment="1">
      <alignment vertical="center" wrapText="1"/>
    </xf>
    <xf numFmtId="0" fontId="30" fillId="4" borderId="0" xfId="0" applyFont="1" applyFill="1" applyBorder="1" applyAlignment="1">
      <alignment wrapText="1"/>
    </xf>
    <xf numFmtId="0" fontId="16" fillId="0" borderId="11" xfId="0" applyFont="1" applyBorder="1" applyAlignment="1" applyProtection="1">
      <alignment wrapText="1"/>
      <protection locked="0"/>
    </xf>
    <xf numFmtId="0" fontId="16" fillId="4" borderId="3" xfId="0" applyNumberFormat="1" applyFont="1" applyFill="1" applyBorder="1" applyAlignment="1" applyProtection="1">
      <alignment vertical="center" wrapText="1"/>
      <protection locked="0"/>
    </xf>
    <xf numFmtId="0" fontId="31" fillId="6" borderId="0" xfId="0" applyNumberFormat="1" applyFont="1" applyFill="1" applyBorder="1" applyAlignment="1">
      <alignment vertical="center"/>
    </xf>
    <xf numFmtId="0" fontId="32" fillId="6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wrapText="1"/>
    </xf>
    <xf numFmtId="2" fontId="7" fillId="4" borderId="0" xfId="0" applyNumberFormat="1" applyFont="1" applyFill="1" applyBorder="1" applyAlignment="1">
      <alignment wrapText="1"/>
    </xf>
    <xf numFmtId="0" fontId="21" fillId="4" borderId="0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 applyProtection="1">
      <alignment horizontal="center" vertical="center" wrapText="1"/>
      <protection locked="0"/>
    </xf>
    <xf numFmtId="0" fontId="20" fillId="5" borderId="8" xfId="0" applyFont="1" applyFill="1" applyBorder="1" applyAlignment="1" applyProtection="1">
      <alignment horizontal="center" vertical="center" wrapText="1"/>
      <protection locked="0"/>
    </xf>
    <xf numFmtId="0" fontId="21" fillId="4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wrapText="1"/>
    </xf>
    <xf numFmtId="0" fontId="21" fillId="4" borderId="0" xfId="0" applyNumberFormat="1" applyFont="1" applyFill="1" applyBorder="1" applyAlignment="1">
      <alignment horizontal="center" vertical="center" textRotation="90" wrapText="1"/>
    </xf>
    <xf numFmtId="0" fontId="22" fillId="6" borderId="0" xfId="0" applyNumberFormat="1" applyFont="1" applyFill="1" applyBorder="1" applyAlignment="1">
      <alignment horizontal="center" vertical="center"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MacDonnell Road</a:t>
            </a:r>
            <a:endParaRPr lang="es-ES_tradnl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4884658790799"/>
          <c:y val="6.4821577675625699E-2"/>
          <c:w val="0.67073505490955498"/>
          <c:h val="0.76942743798341695"/>
        </c:manualLayout>
      </c:layout>
      <c:radarChart>
        <c:radarStyle val="marker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multiLvlStrRef>
              <c:f>Radar1!$A$3:$B$23</c:f>
              <c:multiLvlStrCache>
                <c:ptCount val="21"/>
                <c:lvl>
                  <c:pt idx="0">
                    <c:v>Residentia</c:v>
                  </c:pt>
                  <c:pt idx="1">
                    <c:v>Employment</c:v>
                  </c:pt>
                  <c:pt idx="2">
                    <c:v>3rd places (day)</c:v>
                  </c:pt>
                  <c:pt idx="3">
                    <c:v>3rd places (Night)</c:v>
                  </c:pt>
                  <c:pt idx="4">
                    <c:v>Cultural</c:v>
                  </c:pt>
                  <c:pt idx="5">
                    <c:v>Co-working</c:v>
                  </c:pt>
                  <c:pt idx="6">
                    <c:v>Educational</c:v>
                  </c:pt>
                  <c:pt idx="7">
                    <c:v>Access to Parks</c:v>
                  </c:pt>
                  <c:pt idx="8">
                    <c:v>Access to public Transport</c:v>
                  </c:pt>
                  <c:pt idx="9">
                    <c:v>Intersection Density</c:v>
                  </c:pt>
                  <c:pt idx="10">
                    <c:v>Access to look-out (Police)</c:v>
                  </c:pt>
                  <c:pt idx="11">
                    <c:v>Access to Healthy food</c:v>
                  </c:pt>
                  <c:pt idx="12">
                    <c:v>Access to Sports (Leisure and wellness)</c:v>
                  </c:pt>
                  <c:pt idx="13">
                    <c:v>Access to Healthcare </c:v>
                  </c:pt>
                  <c:pt idx="14">
                    <c:v>Residential</c:v>
                  </c:pt>
                  <c:pt idx="15">
                    <c:v>Employment</c:v>
                  </c:pt>
                  <c:pt idx="16">
                    <c:v>Residential/Employment (Ratio)</c:v>
                  </c:pt>
                  <c:pt idx="17">
                    <c:v>3rd Places</c:v>
                  </c:pt>
                  <c:pt idx="18">
                    <c:v>Cultural</c:v>
                  </c:pt>
                  <c:pt idx="19">
                    <c:v>Educational</c:v>
                  </c:pt>
                  <c:pt idx="20">
                    <c:v>Gender</c:v>
                  </c:pt>
                </c:lvl>
                <c:lvl>
                  <c:pt idx="0">
                    <c:v>Density</c:v>
                  </c:pt>
                  <c:pt idx="7">
                    <c:v>Proximity</c:v>
                  </c:pt>
                  <c:pt idx="14">
                    <c:v>Diversity</c:v>
                  </c:pt>
                </c:lvl>
              </c:multiLvlStrCache>
            </c:multiLvlStrRef>
          </c:cat>
          <c:val>
            <c:numRef>
              <c:f>Radar1!$C$3:$C$23</c:f>
              <c:numCache>
                <c:formatCode>General</c:formatCode>
                <c:ptCount val="21"/>
                <c:pt idx="0">
                  <c:v>75.007551663034008</c:v>
                </c:pt>
                <c:pt idx="1">
                  <c:v>88.353458274353756</c:v>
                </c:pt>
                <c:pt idx="2">
                  <c:v>98.830308806264824</c:v>
                </c:pt>
                <c:pt idx="3">
                  <c:v>37.607357951663289</c:v>
                </c:pt>
                <c:pt idx="4">
                  <c:v>94.335822901430035</c:v>
                </c:pt>
                <c:pt idx="5">
                  <c:v>44.716941030416166</c:v>
                </c:pt>
                <c:pt idx="6">
                  <c:v>99.073856136638994</c:v>
                </c:pt>
                <c:pt idx="7">
                  <c:v>99.360468520561568</c:v>
                </c:pt>
                <c:pt idx="8">
                  <c:v>69.899977739985829</c:v>
                </c:pt>
                <c:pt idx="9">
                  <c:v>20.747311754882428</c:v>
                </c:pt>
                <c:pt idx="10">
                  <c:v>9.9442609197852168</c:v>
                </c:pt>
                <c:pt idx="11">
                  <c:v>7.607091106750878</c:v>
                </c:pt>
                <c:pt idx="12">
                  <c:v>73.175697385346396</c:v>
                </c:pt>
                <c:pt idx="13">
                  <c:v>86.304302744458383</c:v>
                </c:pt>
                <c:pt idx="14">
                  <c:v>1.7573011172985642</c:v>
                </c:pt>
                <c:pt idx="15">
                  <c:v>57.642386544801248</c:v>
                </c:pt>
                <c:pt idx="16">
                  <c:v>60.050307378492121</c:v>
                </c:pt>
                <c:pt idx="17">
                  <c:v>98.653263593089733</c:v>
                </c:pt>
                <c:pt idx="18">
                  <c:v>32.564518919534535</c:v>
                </c:pt>
                <c:pt idx="19">
                  <c:v>31.956628421432686</c:v>
                </c:pt>
                <c:pt idx="2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3-6E47-A6D9-756EFD9D7A19}"/>
            </c:ext>
          </c:extLst>
        </c:ser>
        <c:ser>
          <c:idx val="1"/>
          <c:order val="1"/>
          <c:spPr>
            <a:ln w="63500" cap="rnd">
              <a:solidFill>
                <a:schemeClr val="accent6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multiLvlStrRef>
              <c:f>Radar1!$A$3:$B$23</c:f>
              <c:multiLvlStrCache>
                <c:ptCount val="21"/>
                <c:lvl>
                  <c:pt idx="0">
                    <c:v>Residentia</c:v>
                  </c:pt>
                  <c:pt idx="1">
                    <c:v>Employment</c:v>
                  </c:pt>
                  <c:pt idx="2">
                    <c:v>3rd places (day)</c:v>
                  </c:pt>
                  <c:pt idx="3">
                    <c:v>3rd places (Night)</c:v>
                  </c:pt>
                  <c:pt idx="4">
                    <c:v>Cultural</c:v>
                  </c:pt>
                  <c:pt idx="5">
                    <c:v>Co-working</c:v>
                  </c:pt>
                  <c:pt idx="6">
                    <c:v>Educational</c:v>
                  </c:pt>
                  <c:pt idx="7">
                    <c:v>Access to Parks</c:v>
                  </c:pt>
                  <c:pt idx="8">
                    <c:v>Access to public Transport</c:v>
                  </c:pt>
                  <c:pt idx="9">
                    <c:v>Intersection Density</c:v>
                  </c:pt>
                  <c:pt idx="10">
                    <c:v>Access to look-out (Police)</c:v>
                  </c:pt>
                  <c:pt idx="11">
                    <c:v>Access to Healthy food</c:v>
                  </c:pt>
                  <c:pt idx="12">
                    <c:v>Access to Sports (Leisure and wellness)</c:v>
                  </c:pt>
                  <c:pt idx="13">
                    <c:v>Access to Healthcare </c:v>
                  </c:pt>
                  <c:pt idx="14">
                    <c:v>Residential</c:v>
                  </c:pt>
                  <c:pt idx="15">
                    <c:v>Employment</c:v>
                  </c:pt>
                  <c:pt idx="16">
                    <c:v>Residential/Employment (Ratio)</c:v>
                  </c:pt>
                  <c:pt idx="17">
                    <c:v>3rd Places</c:v>
                  </c:pt>
                  <c:pt idx="18">
                    <c:v>Cultural</c:v>
                  </c:pt>
                  <c:pt idx="19">
                    <c:v>Educational</c:v>
                  </c:pt>
                  <c:pt idx="20">
                    <c:v>Gender</c:v>
                  </c:pt>
                </c:lvl>
                <c:lvl>
                  <c:pt idx="0">
                    <c:v>Density</c:v>
                  </c:pt>
                  <c:pt idx="7">
                    <c:v>Proximity</c:v>
                  </c:pt>
                  <c:pt idx="14">
                    <c:v>Diversity</c:v>
                  </c:pt>
                </c:lvl>
              </c:multiLvlStrCache>
            </c:multiLvlStrRef>
          </c:cat>
          <c:val>
            <c:numRef>
              <c:f>Radar1!$D$3:$D$23</c:f>
              <c:numCache>
                <c:formatCode>General</c:formatCode>
                <c:ptCount val="21"/>
                <c:pt idx="0">
                  <c:v>80</c:v>
                </c:pt>
                <c:pt idx="1">
                  <c:v>90</c:v>
                </c:pt>
                <c:pt idx="2">
                  <c:v>99</c:v>
                </c:pt>
                <c:pt idx="3">
                  <c:v>65</c:v>
                </c:pt>
                <c:pt idx="4">
                  <c:v>90</c:v>
                </c:pt>
                <c:pt idx="5">
                  <c:v>50</c:v>
                </c:pt>
                <c:pt idx="6">
                  <c:v>65</c:v>
                </c:pt>
                <c:pt idx="7">
                  <c:v>70</c:v>
                </c:pt>
                <c:pt idx="8">
                  <c:v>85</c:v>
                </c:pt>
                <c:pt idx="9">
                  <c:v>65</c:v>
                </c:pt>
                <c:pt idx="10">
                  <c:v>75</c:v>
                </c:pt>
                <c:pt idx="11">
                  <c:v>90</c:v>
                </c:pt>
                <c:pt idx="12">
                  <c:v>40</c:v>
                </c:pt>
                <c:pt idx="13">
                  <c:v>70</c:v>
                </c:pt>
                <c:pt idx="14">
                  <c:v>75</c:v>
                </c:pt>
                <c:pt idx="15">
                  <c:v>55</c:v>
                </c:pt>
                <c:pt idx="16">
                  <c:v>46</c:v>
                </c:pt>
                <c:pt idx="17">
                  <c:v>90</c:v>
                </c:pt>
                <c:pt idx="18">
                  <c:v>85</c:v>
                </c:pt>
                <c:pt idx="19">
                  <c:v>75</c:v>
                </c:pt>
                <c:pt idx="2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3-6E47-A6D9-756EFD9D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4440816"/>
        <c:axId val="-1814438496"/>
      </c:radarChart>
      <c:catAx>
        <c:axId val="-18144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438496"/>
        <c:crosses val="autoZero"/>
        <c:auto val="1"/>
        <c:lblAlgn val="ctr"/>
        <c:lblOffset val="100"/>
        <c:noMultiLvlLbl val="0"/>
      </c:catAx>
      <c:valAx>
        <c:axId val="-1814438496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4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 b="1">
                <a:solidFill>
                  <a:schemeClr val="bg1">
                    <a:lumMod val="95000"/>
                  </a:schemeClr>
                </a:solidFill>
              </a:rPr>
              <a:t>URBAN INDICATORS</a:t>
            </a:r>
          </a:p>
        </c:rich>
      </c:tx>
      <c:layout>
        <c:manualLayout>
          <c:xMode val="edge"/>
          <c:yMode val="edge"/>
          <c:x val="0.43097420623552402"/>
          <c:y val="5.65935891402621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81421815702201E-2"/>
          <c:y val="5.0472687954207902E-2"/>
          <c:w val="0.95926507947788398"/>
          <c:h val="0.817676881122118"/>
        </c:manualLayout>
      </c:layout>
      <c:barChart>
        <c:barDir val="col"/>
        <c:grouping val="percentStacked"/>
        <c:varyColors val="0"/>
        <c:ser>
          <c:idx val="0"/>
          <c:order val="0"/>
          <c:spPr>
            <a:gradFill flip="none" rotWithShape="1">
              <a:gsLst>
                <a:gs pos="0">
                  <a:srgbClr val="92D050"/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Radar1!$W$11:$W$17</c:f>
              <c:strCache>
                <c:ptCount val="7"/>
                <c:pt idx="0">
                  <c:v>Building Energy </c:v>
                </c:pt>
                <c:pt idx="1">
                  <c:v>Mobility Energy</c:v>
                </c:pt>
                <c:pt idx="2">
                  <c:v>Social Wellbeing</c:v>
                </c:pt>
                <c:pt idx="3">
                  <c:v>Innovation Potential</c:v>
                </c:pt>
                <c:pt idx="4">
                  <c:v>Safety &amp; Security</c:v>
                </c:pt>
                <c:pt idx="5">
                  <c:v>Urban Diversity</c:v>
                </c:pt>
                <c:pt idx="6">
                  <c:v>Urban Income</c:v>
                </c:pt>
              </c:strCache>
            </c:strRef>
          </c:cat>
          <c:val>
            <c:numRef>
              <c:f>Radar1!$X$11:$X$17</c:f>
              <c:numCache>
                <c:formatCode>0.00</c:formatCode>
                <c:ptCount val="7"/>
                <c:pt idx="0">
                  <c:v>70.514998543383896</c:v>
                </c:pt>
                <c:pt idx="1">
                  <c:v>60.842471892611179</c:v>
                </c:pt>
                <c:pt idx="2">
                  <c:v>61.612224504235719</c:v>
                </c:pt>
                <c:pt idx="3">
                  <c:v>61.397095762320234</c:v>
                </c:pt>
                <c:pt idx="4">
                  <c:v>47.328604222093205</c:v>
                </c:pt>
                <c:pt idx="5">
                  <c:v>41.778844631384437</c:v>
                </c:pt>
                <c:pt idx="6">
                  <c:v>74.884705882352947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2D48-A3A9-699FC7612334}"/>
            </c:ext>
          </c:extLst>
        </c:ser>
        <c:ser>
          <c:idx val="1"/>
          <c:order val="1"/>
          <c:spPr>
            <a:gradFill>
              <a:gsLst>
                <a:gs pos="0">
                  <a:schemeClr val="accent2"/>
                </a:gs>
                <a:gs pos="74000">
                  <a:schemeClr val="accent2">
                    <a:lumMod val="60000"/>
                    <a:lumOff val="40000"/>
                  </a:schemeClr>
                </a:gs>
                <a:gs pos="83000">
                  <a:schemeClr val="accent2">
                    <a:lumMod val="20000"/>
                    <a:lumOff val="80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Radar1!$W$11:$W$17</c:f>
              <c:strCache>
                <c:ptCount val="7"/>
                <c:pt idx="0">
                  <c:v>Building Energy </c:v>
                </c:pt>
                <c:pt idx="1">
                  <c:v>Mobility Energy</c:v>
                </c:pt>
                <c:pt idx="2">
                  <c:v>Social Wellbeing</c:v>
                </c:pt>
                <c:pt idx="3">
                  <c:v>Innovation Potential</c:v>
                </c:pt>
                <c:pt idx="4">
                  <c:v>Safety &amp; Security</c:v>
                </c:pt>
                <c:pt idx="5">
                  <c:v>Urban Diversity</c:v>
                </c:pt>
                <c:pt idx="6">
                  <c:v>Urban Income</c:v>
                </c:pt>
              </c:strCache>
            </c:strRef>
          </c:cat>
          <c:val>
            <c:numRef>
              <c:f>Radar1!$Y$11:$Y$17</c:f>
              <c:numCache>
                <c:formatCode>0.00</c:formatCode>
                <c:ptCount val="7"/>
                <c:pt idx="0">
                  <c:v>29.485001456616104</c:v>
                </c:pt>
                <c:pt idx="1">
                  <c:v>39.157528107388821</c:v>
                </c:pt>
                <c:pt idx="2">
                  <c:v>38.387775495764281</c:v>
                </c:pt>
                <c:pt idx="3">
                  <c:v>38.602904237679766</c:v>
                </c:pt>
                <c:pt idx="4">
                  <c:v>52.671395777906795</c:v>
                </c:pt>
                <c:pt idx="5">
                  <c:v>58.221155368615563</c:v>
                </c:pt>
                <c:pt idx="6">
                  <c:v>25.115294117647053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6-2D48-A3A9-699FC761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14402816"/>
        <c:axId val="-1814400768"/>
      </c:barChart>
      <c:catAx>
        <c:axId val="-18144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400768"/>
        <c:crosses val="autoZero"/>
        <c:auto val="1"/>
        <c:lblAlgn val="ctr"/>
        <c:lblOffset val="100"/>
        <c:noMultiLvlLbl val="0"/>
      </c:catAx>
      <c:valAx>
        <c:axId val="-181440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402816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57726</xdr:colOff>
      <xdr:row>24</xdr:row>
      <xdr:rowOff>392546</xdr:rowOff>
    </xdr:from>
    <xdr:to>
      <xdr:col>10</xdr:col>
      <xdr:colOff>1073726</xdr:colOff>
      <xdr:row>36</xdr:row>
      <xdr:rowOff>133746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51" t="21487" r="27685" b="16620"/>
        <a:stretch/>
      </xdr:blipFill>
      <xdr:spPr>
        <a:xfrm>
          <a:off x="11822544" y="7539182"/>
          <a:ext cx="4849091" cy="4590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20819</xdr:rowOff>
    </xdr:from>
    <xdr:to>
      <xdr:col>19</xdr:col>
      <xdr:colOff>811967</xdr:colOff>
      <xdr:row>58</xdr:row>
      <xdr:rowOff>187377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</xdr:row>
      <xdr:rowOff>83279</xdr:rowOff>
    </xdr:from>
    <xdr:to>
      <xdr:col>30</xdr:col>
      <xdr:colOff>333113</xdr:colOff>
      <xdr:row>33</xdr:row>
      <xdr:rowOff>187376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0.84632</cdr:x>
      <cdr:y>0.06642</cdr:y>
    </cdr:from>
    <cdr:to>
      <cdr:x>0.97121</cdr:x>
      <cdr:y>0.12982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6386729" y="1198974"/>
          <a:ext cx="2418157" cy="1144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_tradnl" sz="2400" b="1">
              <a:solidFill>
                <a:schemeClr val="tx1">
                  <a:lumMod val="50000"/>
                  <a:lumOff val="50000"/>
                </a:schemeClr>
              </a:solidFill>
            </a:rPr>
            <a:t>DENSITY</a:t>
          </a:r>
        </a:p>
      </cdr:txBody>
    </cdr:sp>
  </cdr:relSizeAnchor>
  <cdr:relSizeAnchor xmlns:cdr="http://schemas.openxmlformats.org/drawingml/2006/chartDrawing">
    <cdr:from>
      <cdr:x>0.06862</cdr:x>
      <cdr:y>0.0755</cdr:y>
    </cdr:from>
    <cdr:to>
      <cdr:x>0.19351</cdr:x>
      <cdr:y>0.1389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790054" y="695277"/>
          <a:ext cx="1437918" cy="583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_tradnl" sz="2400" b="1">
              <a:solidFill>
                <a:schemeClr val="tx1">
                  <a:lumMod val="50000"/>
                  <a:lumOff val="50000"/>
                </a:schemeClr>
              </a:solidFill>
            </a:rPr>
            <a:t>DIVERSITY</a:t>
          </a:r>
        </a:p>
      </cdr:txBody>
    </cdr:sp>
  </cdr:relSizeAnchor>
  <cdr:relSizeAnchor xmlns:cdr="http://schemas.openxmlformats.org/drawingml/2006/chartDrawing">
    <cdr:from>
      <cdr:x>0.45322</cdr:x>
      <cdr:y>0.88353</cdr:y>
    </cdr:from>
    <cdr:to>
      <cdr:x>0.5781</cdr:x>
      <cdr:y>0.94694</cdr:y>
    </cdr:to>
    <cdr:sp macro="" textlink="">
      <cdr:nvSpPr>
        <cdr:cNvPr id="7" name="CuadroTexto 6"/>
        <cdr:cNvSpPr txBox="1"/>
      </cdr:nvSpPr>
      <cdr:spPr>
        <a:xfrm xmlns:a="http://schemas.openxmlformats.org/drawingml/2006/main">
          <a:off x="8775325" y="15948359"/>
          <a:ext cx="2417963" cy="1144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_tradnl" sz="2400" b="1">
              <a:solidFill>
                <a:schemeClr val="tx1">
                  <a:lumMod val="50000"/>
                  <a:lumOff val="50000"/>
                </a:schemeClr>
              </a:solidFill>
            </a:rPr>
            <a:t>PROXIMITY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4"/>
  <sheetViews>
    <sheetView zoomScale="114" zoomScaleNormal="114" zoomScalePageLayoutView="114" workbookViewId="0">
      <selection activeCell="F11" sqref="F11"/>
    </sheetView>
  </sheetViews>
  <sheetFormatPr baseColWidth="10" defaultColWidth="44.1640625" defaultRowHeight="16"/>
  <cols>
    <col min="1" max="1" width="33.5" style="3" customWidth="1"/>
    <col min="2" max="2" width="15.33203125" style="3" customWidth="1"/>
    <col min="3" max="3" width="16.1640625" style="1" customWidth="1"/>
    <col min="4" max="4" width="16.5" style="4" customWidth="1"/>
    <col min="5" max="5" width="44.1640625" style="14"/>
    <col min="6" max="6" width="30.83203125" style="64" customWidth="1"/>
    <col min="7" max="7" width="16.5" style="82" customWidth="1"/>
    <col min="8" max="8" width="14.5" style="66" customWidth="1"/>
    <col min="9" max="9" width="12" style="66" customWidth="1"/>
    <col min="10" max="10" width="7.33203125" style="66" customWidth="1"/>
    <col min="11" max="23" width="44.1640625" style="66"/>
    <col min="24" max="16384" width="44.1640625" style="1"/>
  </cols>
  <sheetData>
    <row r="1" spans="1:23">
      <c r="A1" s="23"/>
      <c r="B1" s="23"/>
      <c r="C1" s="23"/>
      <c r="D1" s="23"/>
      <c r="E1" s="23"/>
    </row>
    <row r="2" spans="1:23">
      <c r="A2" s="12" t="s">
        <v>162</v>
      </c>
      <c r="B2" s="105" t="s">
        <v>164</v>
      </c>
      <c r="C2" s="33"/>
      <c r="D2" s="34"/>
      <c r="E2" s="14" t="s">
        <v>166</v>
      </c>
    </row>
    <row r="3" spans="1:23">
      <c r="A3" s="12" t="s">
        <v>163</v>
      </c>
      <c r="B3" s="105" t="s">
        <v>165</v>
      </c>
      <c r="C3" s="33"/>
      <c r="D3" s="34"/>
      <c r="E3" s="14" t="s">
        <v>166</v>
      </c>
    </row>
    <row r="4" spans="1:23">
      <c r="A4" s="23"/>
      <c r="B4" s="23"/>
      <c r="C4" s="23"/>
      <c r="D4" s="23"/>
      <c r="E4" s="23"/>
    </row>
    <row r="5" spans="1:23">
      <c r="A5" s="12" t="s">
        <v>64</v>
      </c>
      <c r="B5" s="106">
        <v>1</v>
      </c>
      <c r="C5" s="18" t="s">
        <v>65</v>
      </c>
      <c r="D5" s="17">
        <f>B5</f>
        <v>1</v>
      </c>
      <c r="E5" s="63" t="s">
        <v>77</v>
      </c>
      <c r="K5" s="86" t="s">
        <v>0</v>
      </c>
      <c r="L5" s="52">
        <v>19</v>
      </c>
    </row>
    <row r="6" spans="1:23">
      <c r="A6" s="12" t="s">
        <v>66</v>
      </c>
      <c r="B6" s="106">
        <v>14563</v>
      </c>
      <c r="C6" s="18" t="s">
        <v>58</v>
      </c>
      <c r="D6" s="17">
        <f>B6</f>
        <v>14563</v>
      </c>
      <c r="E6" s="63" t="s">
        <v>148</v>
      </c>
      <c r="K6" s="86" t="s">
        <v>1</v>
      </c>
      <c r="L6" s="52">
        <v>144</v>
      </c>
    </row>
    <row r="7" spans="1:23" ht="32">
      <c r="A7" s="12" t="s">
        <v>67</v>
      </c>
      <c r="B7" s="106">
        <v>17137</v>
      </c>
      <c r="C7" s="18" t="s">
        <v>58</v>
      </c>
      <c r="D7" s="17">
        <f>B7</f>
        <v>17137</v>
      </c>
      <c r="E7" s="63" t="s">
        <v>149</v>
      </c>
      <c r="K7" s="86" t="s">
        <v>2</v>
      </c>
      <c r="L7" s="52">
        <v>93</v>
      </c>
    </row>
    <row r="8" spans="1:23">
      <c r="A8" s="7" t="s">
        <v>167</v>
      </c>
      <c r="B8" s="13"/>
      <c r="C8" s="13"/>
      <c r="D8" s="17">
        <f>D6+D7</f>
        <v>31700</v>
      </c>
      <c r="E8" s="63"/>
      <c r="K8" s="86" t="s">
        <v>3</v>
      </c>
      <c r="L8" s="52">
        <v>62</v>
      </c>
    </row>
    <row r="9" spans="1:23" s="6" customFormat="1" ht="32">
      <c r="A9" s="23" t="s">
        <v>14</v>
      </c>
      <c r="B9" s="22" t="s">
        <v>74</v>
      </c>
      <c r="C9" s="23" t="s">
        <v>78</v>
      </c>
      <c r="D9" s="24" t="s">
        <v>139</v>
      </c>
      <c r="E9" s="25" t="s">
        <v>79</v>
      </c>
      <c r="F9" s="75"/>
      <c r="G9" s="83" t="s">
        <v>184</v>
      </c>
      <c r="H9" s="70" t="s">
        <v>104</v>
      </c>
      <c r="I9" s="70"/>
      <c r="J9" s="70"/>
      <c r="K9" s="86" t="s">
        <v>4</v>
      </c>
      <c r="L9" s="87">
        <v>36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spans="1:23" ht="17">
      <c r="A10" s="15" t="s">
        <v>62</v>
      </c>
      <c r="B10" s="106">
        <v>14</v>
      </c>
      <c r="C10" s="18" t="s">
        <v>58</v>
      </c>
      <c r="D10" s="17">
        <f>((100*B10)/G10)</f>
        <v>28</v>
      </c>
      <c r="E10" s="63" t="s">
        <v>150</v>
      </c>
      <c r="F10" s="79"/>
      <c r="G10" s="82">
        <v>50</v>
      </c>
      <c r="H10" s="66">
        <f>((D10/B110)*LOG(D10/B110))</f>
        <v>-0.12285981819718887</v>
      </c>
      <c r="I10" s="66">
        <f t="shared" ref="I10:I23" si="0">IF(E10=0,0,H10)</f>
        <v>-0.12285981819718887</v>
      </c>
      <c r="K10" s="86" t="s">
        <v>5</v>
      </c>
      <c r="L10" s="52">
        <v>70</v>
      </c>
    </row>
    <row r="11" spans="1:23" ht="32">
      <c r="A11" s="16" t="s">
        <v>63</v>
      </c>
      <c r="B11" s="106">
        <v>16</v>
      </c>
      <c r="C11" s="18" t="s">
        <v>80</v>
      </c>
      <c r="D11" s="17">
        <f>((100*B11)/G11)</f>
        <v>50.473186119873816</v>
      </c>
      <c r="E11" s="63" t="s">
        <v>151</v>
      </c>
      <c r="F11" s="79"/>
      <c r="G11" s="82">
        <f>D8/1000</f>
        <v>31.7</v>
      </c>
      <c r="H11" s="66">
        <f>((D11/B110)*LOG(D11/B110))</f>
        <v>-0.15312899270210362</v>
      </c>
      <c r="I11" s="66">
        <f t="shared" si="0"/>
        <v>-0.15312899270210362</v>
      </c>
      <c r="K11" s="86" t="s">
        <v>6</v>
      </c>
      <c r="L11" s="52">
        <v>47</v>
      </c>
    </row>
    <row r="12" spans="1:23" ht="34">
      <c r="A12" s="16" t="s">
        <v>2</v>
      </c>
      <c r="B12" s="106">
        <v>10</v>
      </c>
      <c r="C12" s="18" t="s">
        <v>58</v>
      </c>
      <c r="D12" s="17">
        <f>((100*B12)/G12)</f>
        <v>50.473186119873816</v>
      </c>
      <c r="E12" s="63" t="s">
        <v>152</v>
      </c>
      <c r="F12" s="79"/>
      <c r="G12" s="82">
        <f>D8/1600</f>
        <v>19.8125</v>
      </c>
      <c r="H12" s="66">
        <f>((D12/B110)*LOG(D12/B110))</f>
        <v>-0.15312899270210362</v>
      </c>
      <c r="I12" s="66">
        <f t="shared" si="0"/>
        <v>-0.15312899270210362</v>
      </c>
      <c r="K12" s="86" t="s">
        <v>7</v>
      </c>
      <c r="L12" s="52">
        <v>34</v>
      </c>
    </row>
    <row r="13" spans="1:23" ht="32">
      <c r="A13" s="16" t="s">
        <v>3</v>
      </c>
      <c r="B13" s="106">
        <v>27</v>
      </c>
      <c r="C13" s="18" t="s">
        <v>58</v>
      </c>
      <c r="D13" s="17">
        <f>((50*B13)/G13)</f>
        <v>56.044164037854891</v>
      </c>
      <c r="E13" s="63" t="s">
        <v>140</v>
      </c>
      <c r="F13" s="79"/>
      <c r="G13" s="82">
        <f>D8/1316</f>
        <v>24.088145896656535</v>
      </c>
      <c r="H13" s="66">
        <f>((D13/B110)*LOG(D13/B110))</f>
        <v>-0.15654748394352355</v>
      </c>
      <c r="I13" s="66">
        <f>IF(E13=0,0,H13)</f>
        <v>-0.15654748394352355</v>
      </c>
      <c r="K13" s="86" t="s">
        <v>8</v>
      </c>
      <c r="L13" s="52">
        <v>35</v>
      </c>
    </row>
    <row r="14" spans="1:23" ht="32">
      <c r="A14" s="16" t="s">
        <v>4</v>
      </c>
      <c r="B14" s="106">
        <v>18</v>
      </c>
      <c r="C14" s="18" t="s">
        <v>58</v>
      </c>
      <c r="D14" s="17">
        <f>((B14*100)/O122)</f>
        <v>110.41009463722398</v>
      </c>
      <c r="E14" s="62" t="s">
        <v>141</v>
      </c>
      <c r="F14" s="79"/>
      <c r="G14" s="82">
        <f>14.5*4</f>
        <v>58</v>
      </c>
      <c r="H14" s="66">
        <f>((D14/B110)*LOG(D14/B110))</f>
        <v>-0.13637867860773456</v>
      </c>
      <c r="I14" s="66">
        <f t="shared" si="0"/>
        <v>-0.13637867860773456</v>
      </c>
      <c r="K14" s="86" t="s">
        <v>9</v>
      </c>
      <c r="L14" s="52">
        <v>98</v>
      </c>
    </row>
    <row r="15" spans="1:23">
      <c r="A15" s="16" t="s">
        <v>5</v>
      </c>
      <c r="B15" s="106">
        <v>18</v>
      </c>
      <c r="C15" s="18" t="s">
        <v>58</v>
      </c>
      <c r="D15" s="17">
        <f>B15</f>
        <v>18</v>
      </c>
      <c r="E15" s="62" t="s">
        <v>81</v>
      </c>
      <c r="G15" s="82">
        <f>D6*4</f>
        <v>58252</v>
      </c>
      <c r="H15" s="66">
        <f>((D15/B110)*LOG(D15/B110))</f>
        <v>-9.7256123720946469E-2</v>
      </c>
      <c r="I15" s="66">
        <f t="shared" si="0"/>
        <v>-9.7256123720946469E-2</v>
      </c>
      <c r="K15" s="86" t="s">
        <v>10</v>
      </c>
      <c r="L15" s="52">
        <v>13</v>
      </c>
    </row>
    <row r="16" spans="1:23" ht="32">
      <c r="A16" s="16" t="s">
        <v>6</v>
      </c>
      <c r="B16" s="106">
        <v>24</v>
      </c>
      <c r="C16" s="18" t="s">
        <v>58</v>
      </c>
      <c r="D16" s="17">
        <f>B16</f>
        <v>24</v>
      </c>
      <c r="E16" s="62" t="s">
        <v>142</v>
      </c>
      <c r="H16" s="66">
        <f>((D16/B110)*LOG(D16/B110))</f>
        <v>-0.11380959523322388</v>
      </c>
      <c r="I16" s="66">
        <f t="shared" si="0"/>
        <v>-0.11380959523322388</v>
      </c>
      <c r="K16" s="86" t="s">
        <v>11</v>
      </c>
      <c r="L16" s="52">
        <v>21</v>
      </c>
    </row>
    <row r="17" spans="1:23" ht="32">
      <c r="A17" s="16" t="s">
        <v>7</v>
      </c>
      <c r="B17" s="106">
        <v>7</v>
      </c>
      <c r="C17" s="18" t="s">
        <v>58</v>
      </c>
      <c r="D17" s="17">
        <f>B17</f>
        <v>7</v>
      </c>
      <c r="E17" s="63" t="s">
        <v>153</v>
      </c>
      <c r="H17" s="66">
        <f>((D17/B110)*LOG(D17/B110))</f>
        <v>-5.301347274662916E-2</v>
      </c>
      <c r="I17" s="66">
        <f t="shared" si="0"/>
        <v>-5.301347274662916E-2</v>
      </c>
      <c r="K17" s="86" t="s">
        <v>12</v>
      </c>
      <c r="L17" s="52">
        <v>1</v>
      </c>
    </row>
    <row r="18" spans="1:23" ht="32">
      <c r="A18" s="16" t="s">
        <v>8</v>
      </c>
      <c r="B18" s="106">
        <v>2</v>
      </c>
      <c r="C18" s="18" t="s">
        <v>58</v>
      </c>
      <c r="D18" s="17">
        <f>B18</f>
        <v>2</v>
      </c>
      <c r="E18" s="63" t="s">
        <v>143</v>
      </c>
      <c r="H18" s="66">
        <f>((D18/B110)*LOG(D18/B110))</f>
        <v>-2.0904040301685321E-2</v>
      </c>
      <c r="I18" s="66">
        <f t="shared" si="0"/>
        <v>-2.0904040301685321E-2</v>
      </c>
      <c r="K18" s="86" t="s">
        <v>13</v>
      </c>
      <c r="L18" s="52">
        <v>2</v>
      </c>
    </row>
    <row r="19" spans="1:23">
      <c r="A19" s="16" t="s">
        <v>9</v>
      </c>
      <c r="B19" s="106">
        <v>13</v>
      </c>
      <c r="C19" s="18" t="s">
        <v>58</v>
      </c>
      <c r="D19" s="17">
        <f>((B19*100)/G19)</f>
        <v>205.04731861198738</v>
      </c>
      <c r="E19" s="63" t="s">
        <v>144</v>
      </c>
      <c r="G19" s="82">
        <v>6.34</v>
      </c>
      <c r="H19" s="66">
        <f>((D19/B110)*LOG(D19/B110))</f>
        <v>3.839732389249232E-2</v>
      </c>
      <c r="I19" s="66">
        <f t="shared" si="0"/>
        <v>3.839732389249232E-2</v>
      </c>
      <c r="K19" s="88" t="s">
        <v>24</v>
      </c>
      <c r="L19" s="52">
        <v>436</v>
      </c>
    </row>
    <row r="20" spans="1:23">
      <c r="A20" s="16" t="s">
        <v>10</v>
      </c>
      <c r="B20" s="106">
        <v>21</v>
      </c>
      <c r="C20" s="18" t="s">
        <v>58</v>
      </c>
      <c r="D20" s="17">
        <f>B20</f>
        <v>21</v>
      </c>
      <c r="E20" s="63" t="s">
        <v>145</v>
      </c>
      <c r="H20" s="66">
        <f>((D20/B110)*LOG(D20/B110))</f>
        <v>-0.10602694549325831</v>
      </c>
      <c r="I20" s="66">
        <f t="shared" si="0"/>
        <v>-0.10602694549325831</v>
      </c>
      <c r="K20" s="88" t="s">
        <v>25</v>
      </c>
      <c r="L20" s="52">
        <v>129</v>
      </c>
    </row>
    <row r="21" spans="1:23" ht="32">
      <c r="A21" s="16" t="s">
        <v>11</v>
      </c>
      <c r="B21" s="106">
        <v>11</v>
      </c>
      <c r="C21" s="18" t="s">
        <v>58</v>
      </c>
      <c r="D21" s="17">
        <f>((B21*100)/G21)</f>
        <v>115.6677181913775</v>
      </c>
      <c r="E21" s="63" t="s">
        <v>251</v>
      </c>
      <c r="G21" s="82">
        <v>9.51</v>
      </c>
      <c r="H21" s="66">
        <f>((D21/B110)*LOG(D21/B110))</f>
        <v>-0.13050845923682469</v>
      </c>
      <c r="I21" s="66">
        <f t="shared" si="0"/>
        <v>-0.13050845923682469</v>
      </c>
      <c r="K21" s="66" t="s">
        <v>17</v>
      </c>
      <c r="L21" s="68">
        <f>L18+L17+L16+L15+L14+L13+L12+L11+L10+L9+L8+L7+L6+L5</f>
        <v>675</v>
      </c>
    </row>
    <row r="22" spans="1:23" ht="32">
      <c r="A22" s="16" t="s">
        <v>12</v>
      </c>
      <c r="B22" s="106">
        <v>3</v>
      </c>
      <c r="C22" s="18" t="s">
        <v>58</v>
      </c>
      <c r="D22" s="17">
        <f>B22</f>
        <v>3</v>
      </c>
      <c r="E22" s="63" t="s">
        <v>146</v>
      </c>
      <c r="H22" s="66">
        <f>((D22/B110)*LOG(D22/B110))</f>
        <v>-2.8560961102437804E-2</v>
      </c>
      <c r="I22" s="66">
        <f t="shared" si="0"/>
        <v>-2.8560961102437804E-2</v>
      </c>
    </row>
    <row r="23" spans="1:23">
      <c r="A23" s="16" t="s">
        <v>13</v>
      </c>
      <c r="B23" s="106">
        <v>5</v>
      </c>
      <c r="C23" s="18" t="s">
        <v>58</v>
      </c>
      <c r="D23" s="17">
        <f>((B23*100)/G23)</f>
        <v>52.576235541535226</v>
      </c>
      <c r="E23" s="63" t="s">
        <v>147</v>
      </c>
      <c r="G23" s="82">
        <v>9.51</v>
      </c>
      <c r="H23" s="66">
        <f>((D23/B110)*LOG(D23/B110))</f>
        <v>-0.15457755878652912</v>
      </c>
      <c r="I23" s="66">
        <f t="shared" si="0"/>
        <v>-0.15457755878652912</v>
      </c>
    </row>
    <row r="24" spans="1:23" s="6" customFormat="1" ht="11" customHeight="1">
      <c r="A24" s="95"/>
      <c r="B24" s="95"/>
      <c r="C24" s="73"/>
      <c r="D24" s="96"/>
      <c r="E24" s="73"/>
      <c r="F24" s="75"/>
      <c r="G24" s="83"/>
      <c r="H24" s="70"/>
      <c r="I24" s="89">
        <f>I15+I16+I17+I18+I19+I20+I21+I22+I23+I14+I13+I12+I11+I10</f>
        <v>-1.3883037988816966</v>
      </c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</row>
    <row r="25" spans="1:23" s="6" customFormat="1" ht="35" customHeight="1">
      <c r="A25" s="97" t="s">
        <v>75</v>
      </c>
      <c r="B25" s="22" t="s">
        <v>74</v>
      </c>
      <c r="C25" s="23" t="s">
        <v>78</v>
      </c>
      <c r="D25" s="24" t="s">
        <v>139</v>
      </c>
      <c r="E25" s="25" t="s">
        <v>79</v>
      </c>
      <c r="F25" s="75"/>
      <c r="G25" s="83"/>
      <c r="H25" s="70"/>
      <c r="I25" s="80">
        <f>1+I24</f>
        <v>-0.38830379888169664</v>
      </c>
      <c r="J25" s="70" t="s">
        <v>90</v>
      </c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</row>
    <row r="26" spans="1:23" s="6" customFormat="1" ht="29" customHeight="1">
      <c r="A26" s="98"/>
      <c r="B26" s="98"/>
      <c r="C26" s="73"/>
      <c r="D26" s="96"/>
      <c r="E26" s="76"/>
      <c r="G26" s="83"/>
      <c r="H26" s="70"/>
      <c r="I26" s="70">
        <f>100-(I25*100)</f>
        <v>138.83037988816966</v>
      </c>
      <c r="J26" s="70" t="s">
        <v>101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spans="1:23" ht="35" thickBot="1">
      <c r="A27" s="5" t="s">
        <v>68</v>
      </c>
      <c r="B27" s="106">
        <v>15</v>
      </c>
      <c r="C27" s="18" t="s">
        <v>58</v>
      </c>
      <c r="D27" s="17">
        <f>((G27*100)/7.1)</f>
        <v>145.07148639277816</v>
      </c>
      <c r="E27" s="63" t="s">
        <v>161</v>
      </c>
      <c r="G27" s="82">
        <f>((10000*B27)/D6)</f>
        <v>10.300075533887249</v>
      </c>
      <c r="K27" s="70" t="s">
        <v>29</v>
      </c>
      <c r="L27" s="70" t="s">
        <v>16</v>
      </c>
      <c r="M27" s="70" t="s">
        <v>17</v>
      </c>
      <c r="N27" s="54" t="s">
        <v>18</v>
      </c>
      <c r="O27" s="50" t="s">
        <v>19</v>
      </c>
      <c r="P27" s="54" t="s">
        <v>123</v>
      </c>
      <c r="Q27" s="54" t="s">
        <v>21</v>
      </c>
    </row>
    <row r="28" spans="1:23" ht="51">
      <c r="A28" s="5" t="s">
        <v>69</v>
      </c>
      <c r="B28" s="106">
        <v>39</v>
      </c>
      <c r="C28" s="18" t="s">
        <v>58</v>
      </c>
      <c r="D28" s="17">
        <f>((5*50)/(B28/10))+B28</f>
        <v>103.1025641025641</v>
      </c>
      <c r="E28" s="63" t="s">
        <v>154</v>
      </c>
      <c r="F28" s="92" t="s">
        <v>243</v>
      </c>
      <c r="G28" s="84"/>
      <c r="K28" s="54" t="s">
        <v>30</v>
      </c>
      <c r="L28" s="54">
        <v>20000</v>
      </c>
      <c r="M28" s="50">
        <v>4</v>
      </c>
      <c r="N28" s="54">
        <f t="shared" ref="N28:N113" si="1">L28/M28</f>
        <v>5000</v>
      </c>
      <c r="O28" s="85">
        <f>((D8*M28)/L28)</f>
        <v>6.34</v>
      </c>
      <c r="P28" s="50">
        <v>0</v>
      </c>
      <c r="Q28" s="50">
        <v>0</v>
      </c>
    </row>
    <row r="29" spans="1:23" ht="57" customHeight="1">
      <c r="A29" s="5" t="s">
        <v>49</v>
      </c>
      <c r="B29" s="106">
        <v>31.8</v>
      </c>
      <c r="C29" s="18" t="s">
        <v>58</v>
      </c>
      <c r="D29" s="17">
        <f>B29</f>
        <v>31.8</v>
      </c>
      <c r="E29" s="94" t="s">
        <v>242</v>
      </c>
      <c r="F29" s="93" t="s">
        <v>156</v>
      </c>
      <c r="K29" s="54" t="s">
        <v>31</v>
      </c>
      <c r="L29" s="54">
        <v>10000</v>
      </c>
      <c r="M29" s="50">
        <v>7</v>
      </c>
      <c r="N29" s="54">
        <f t="shared" si="1"/>
        <v>1428.5714285714287</v>
      </c>
      <c r="O29" s="85">
        <f>((D8*M29)/L29)</f>
        <v>22.19</v>
      </c>
      <c r="P29" s="50">
        <v>0</v>
      </c>
      <c r="Q29" s="50">
        <v>0</v>
      </c>
    </row>
    <row r="30" spans="1:23" ht="28" customHeight="1">
      <c r="A30" s="5" t="s">
        <v>72</v>
      </c>
      <c r="B30" s="106">
        <v>0</v>
      </c>
      <c r="C30" s="18" t="s">
        <v>58</v>
      </c>
      <c r="D30" s="17">
        <f>((B30*100)/G30)</f>
        <v>0</v>
      </c>
      <c r="E30" s="63" t="s">
        <v>82</v>
      </c>
      <c r="F30" s="93" t="s">
        <v>155</v>
      </c>
      <c r="G30" s="82">
        <v>5</v>
      </c>
      <c r="K30" s="54" t="s">
        <v>32</v>
      </c>
      <c r="L30" s="54">
        <v>8000</v>
      </c>
      <c r="M30" s="50">
        <v>13</v>
      </c>
      <c r="N30" s="54">
        <f t="shared" si="1"/>
        <v>615.38461538461536</v>
      </c>
      <c r="O30" s="85">
        <f>((D8*M30)/L30)</f>
        <v>51.512500000000003</v>
      </c>
      <c r="P30" s="50">
        <v>0</v>
      </c>
      <c r="Q30" s="50">
        <v>0</v>
      </c>
    </row>
    <row r="31" spans="1:23" ht="34">
      <c r="A31" s="5" t="s">
        <v>71</v>
      </c>
      <c r="B31" s="106">
        <v>4</v>
      </c>
      <c r="C31" s="18" t="s">
        <v>58</v>
      </c>
      <c r="D31" s="17">
        <f>((B31*100)/G31)</f>
        <v>12.618296529968454</v>
      </c>
      <c r="E31" s="63" t="s">
        <v>160</v>
      </c>
      <c r="F31" s="93" t="s">
        <v>158</v>
      </c>
      <c r="G31" s="82">
        <f>D8/1000</f>
        <v>31.7</v>
      </c>
      <c r="K31" s="54" t="s">
        <v>33</v>
      </c>
      <c r="L31" s="54">
        <v>20000</v>
      </c>
      <c r="M31" s="50">
        <v>5</v>
      </c>
      <c r="N31" s="54">
        <f t="shared" si="1"/>
        <v>4000</v>
      </c>
      <c r="O31" s="85">
        <f>((D8*M31)/L31)</f>
        <v>7.9249999999999998</v>
      </c>
      <c r="P31" s="50">
        <v>0</v>
      </c>
      <c r="Q31" s="50">
        <v>0</v>
      </c>
    </row>
    <row r="32" spans="1:23" ht="34">
      <c r="A32" s="5" t="s">
        <v>70</v>
      </c>
      <c r="B32" s="106">
        <v>5</v>
      </c>
      <c r="C32" s="18" t="s">
        <v>58</v>
      </c>
      <c r="D32" s="17">
        <f>((B32*100)/O135)</f>
        <v>107.80757097791798</v>
      </c>
      <c r="E32" s="63" t="s">
        <v>249</v>
      </c>
      <c r="F32" s="93" t="s">
        <v>157</v>
      </c>
      <c r="G32" s="82">
        <f>((10000*2)/D6)</f>
        <v>1.3733434045182997</v>
      </c>
      <c r="K32" s="54" t="s">
        <v>34</v>
      </c>
      <c r="L32" s="54">
        <v>20000</v>
      </c>
      <c r="M32" s="50">
        <v>5</v>
      </c>
      <c r="N32" s="54">
        <f t="shared" si="1"/>
        <v>4000</v>
      </c>
      <c r="O32" s="85">
        <f>((D8*M32)/L32)</f>
        <v>7.9249999999999998</v>
      </c>
      <c r="P32" s="50">
        <v>0</v>
      </c>
      <c r="Q32" s="50">
        <v>0</v>
      </c>
    </row>
    <row r="33" spans="1:23" ht="34">
      <c r="A33" s="5" t="s">
        <v>53</v>
      </c>
      <c r="B33" s="106">
        <v>13</v>
      </c>
      <c r="C33" s="18" t="s">
        <v>58</v>
      </c>
      <c r="D33" s="17">
        <f>((B33*100)/O136)</f>
        <v>126.55520504731862</v>
      </c>
      <c r="E33" s="63" t="s">
        <v>250</v>
      </c>
      <c r="F33" s="93" t="s">
        <v>159</v>
      </c>
      <c r="K33" s="54" t="s">
        <v>35</v>
      </c>
      <c r="L33" s="54">
        <v>18000</v>
      </c>
      <c r="M33" s="50">
        <v>6</v>
      </c>
      <c r="N33" s="54">
        <f t="shared" si="1"/>
        <v>3000</v>
      </c>
      <c r="O33" s="85">
        <f>((D8*M33)/L33)</f>
        <v>10.566666666666666</v>
      </c>
      <c r="P33" s="50">
        <v>0</v>
      </c>
      <c r="Q33" s="50">
        <v>0</v>
      </c>
    </row>
    <row r="34" spans="1:23">
      <c r="A34" s="77"/>
      <c r="B34" s="77"/>
      <c r="C34" s="77"/>
      <c r="D34" s="77"/>
      <c r="E34" s="77"/>
      <c r="K34" s="54"/>
      <c r="L34" s="54"/>
      <c r="M34" s="50"/>
      <c r="N34" s="54"/>
      <c r="O34" s="85"/>
      <c r="P34" s="50"/>
      <c r="Q34" s="50"/>
    </row>
    <row r="35" spans="1:23" ht="23" customHeight="1">
      <c r="A35" s="115" t="s">
        <v>175</v>
      </c>
      <c r="B35" s="115"/>
      <c r="C35" s="115"/>
      <c r="D35" s="115"/>
      <c r="E35" s="77"/>
      <c r="K35" s="54"/>
      <c r="L35" s="54"/>
      <c r="M35" s="50"/>
      <c r="N35" s="54"/>
      <c r="O35" s="85"/>
      <c r="P35" s="50"/>
      <c r="Q35" s="50"/>
    </row>
    <row r="36" spans="1:23">
      <c r="A36" s="77"/>
      <c r="B36" s="77"/>
      <c r="C36" s="77"/>
      <c r="D36" s="77"/>
      <c r="E36" s="77"/>
      <c r="K36" s="54"/>
      <c r="L36" s="54"/>
      <c r="M36" s="50"/>
      <c r="N36" s="54"/>
      <c r="O36" s="85"/>
      <c r="P36" s="50"/>
      <c r="Q36" s="50"/>
    </row>
    <row r="37" spans="1:23" s="6" customFormat="1" ht="17">
      <c r="A37" s="97" t="s">
        <v>177</v>
      </c>
      <c r="B37" s="22"/>
      <c r="C37" s="23"/>
      <c r="D37" s="24"/>
      <c r="E37" s="25"/>
      <c r="G37" s="83"/>
      <c r="H37" s="70"/>
      <c r="I37" s="70"/>
      <c r="J37" s="70"/>
      <c r="K37" s="54"/>
      <c r="L37" s="54"/>
      <c r="M37" s="50"/>
      <c r="N37" s="54"/>
      <c r="O37" s="85"/>
      <c r="P37" s="50"/>
      <c r="Q37" s="50"/>
      <c r="R37" s="70"/>
      <c r="S37" s="70"/>
      <c r="T37" s="70"/>
      <c r="U37" s="70"/>
      <c r="V37" s="70"/>
      <c r="W37" s="70"/>
    </row>
    <row r="38" spans="1:23" s="6" customFormat="1" ht="17">
      <c r="A38" s="99" t="s">
        <v>87</v>
      </c>
      <c r="B38" s="99" t="s">
        <v>58</v>
      </c>
      <c r="C38" s="99" t="s">
        <v>89</v>
      </c>
      <c r="D38" s="99" t="s">
        <v>173</v>
      </c>
      <c r="E38" s="73"/>
      <c r="F38" s="103"/>
      <c r="G38" s="70"/>
      <c r="H38" s="70"/>
      <c r="I38" s="70"/>
      <c r="J38" s="70"/>
      <c r="K38" s="54"/>
      <c r="L38" s="54"/>
      <c r="M38" s="50"/>
      <c r="N38" s="54"/>
      <c r="O38" s="85"/>
      <c r="P38" s="50"/>
      <c r="Q38" s="50"/>
      <c r="R38" s="70"/>
      <c r="S38" s="70"/>
      <c r="T38" s="70"/>
      <c r="U38" s="70"/>
      <c r="V38" s="70"/>
      <c r="W38" s="70"/>
    </row>
    <row r="39" spans="1:23" ht="17">
      <c r="A39" s="5" t="s">
        <v>168</v>
      </c>
      <c r="B39" s="106">
        <v>0</v>
      </c>
      <c r="C39" s="27" t="e">
        <f>((B39/B45)*LOG(B39/B45))</f>
        <v>#NUM!</v>
      </c>
      <c r="D39" s="20">
        <f t="shared" ref="D39:D44" si="2">IF(B39=0,0,C39)</f>
        <v>0</v>
      </c>
      <c r="F39" s="104"/>
      <c r="G39" s="66"/>
      <c r="K39" s="54"/>
      <c r="L39" s="54"/>
      <c r="M39" s="50"/>
      <c r="N39" s="54"/>
      <c r="O39" s="85"/>
      <c r="P39" s="50"/>
      <c r="Q39" s="50"/>
    </row>
    <row r="40" spans="1:23" ht="17">
      <c r="A40" s="5" t="s">
        <v>169</v>
      </c>
      <c r="B40" s="106">
        <v>0</v>
      </c>
      <c r="C40" s="27" t="e">
        <f>((B40/B45)*LOG(B40/B45))</f>
        <v>#NUM!</v>
      </c>
      <c r="D40" s="20">
        <f t="shared" si="2"/>
        <v>0</v>
      </c>
      <c r="F40" s="104"/>
      <c r="G40" s="66"/>
      <c r="K40" s="54"/>
      <c r="L40" s="54"/>
      <c r="M40" s="50"/>
      <c r="N40" s="54"/>
      <c r="O40" s="85"/>
      <c r="P40" s="50"/>
      <c r="Q40" s="50"/>
    </row>
    <row r="41" spans="1:23" ht="17">
      <c r="A41" s="5" t="s">
        <v>170</v>
      </c>
      <c r="B41" s="106">
        <v>6010</v>
      </c>
      <c r="C41" s="27">
        <f>((B41/B45)*LOG(B41/B45))</f>
        <v>-7.8037778228478702E-3</v>
      </c>
      <c r="D41" s="20">
        <f t="shared" si="2"/>
        <v>-7.8037778228478702E-3</v>
      </c>
      <c r="F41" s="104"/>
      <c r="G41" s="66"/>
      <c r="K41" s="54"/>
      <c r="L41" s="54"/>
      <c r="M41" s="50"/>
      <c r="N41" s="54"/>
      <c r="O41" s="85"/>
      <c r="P41" s="50"/>
      <c r="Q41" s="50"/>
    </row>
    <row r="42" spans="1:23" ht="17">
      <c r="A42" s="5" t="s">
        <v>171</v>
      </c>
      <c r="B42" s="106">
        <v>109</v>
      </c>
      <c r="C42" s="27">
        <f>((B42/B45)*LOG(B42/B45))</f>
        <v>-3.1152450758027032E-2</v>
      </c>
      <c r="D42" s="20">
        <f t="shared" si="2"/>
        <v>-3.1152450758027032E-2</v>
      </c>
      <c r="F42" s="104"/>
      <c r="G42" s="66"/>
      <c r="K42" s="54"/>
      <c r="L42" s="54"/>
      <c r="M42" s="50"/>
      <c r="N42" s="54"/>
      <c r="O42" s="85"/>
      <c r="P42" s="50"/>
      <c r="Q42" s="50"/>
    </row>
    <row r="43" spans="1:23" ht="17">
      <c r="A43" s="5" t="s">
        <v>172</v>
      </c>
      <c r="B43" s="106">
        <v>2</v>
      </c>
      <c r="C43" s="27">
        <f>((B43/B45)*LOG(B43/B45))</f>
        <v>-1.1389617329963099E-3</v>
      </c>
      <c r="D43" s="20">
        <f t="shared" si="2"/>
        <v>-1.1389617329963099E-3</v>
      </c>
      <c r="F43" s="104"/>
      <c r="G43" s="66"/>
      <c r="K43" s="54"/>
      <c r="L43" s="54"/>
      <c r="M43" s="50"/>
      <c r="N43" s="54"/>
      <c r="O43" s="85"/>
      <c r="P43" s="50"/>
      <c r="Q43" s="50"/>
    </row>
    <row r="44" spans="1:23" ht="17">
      <c r="A44" s="5" t="s">
        <v>180</v>
      </c>
      <c r="B44" s="106">
        <v>0</v>
      </c>
      <c r="C44" s="27" t="e">
        <f>((B44/B45)*LOG(B44/B45))</f>
        <v>#NUM!</v>
      </c>
      <c r="D44" s="20">
        <f t="shared" si="2"/>
        <v>0</v>
      </c>
      <c r="G44" s="66"/>
      <c r="K44" s="54"/>
      <c r="L44" s="54"/>
      <c r="M44" s="50"/>
      <c r="N44" s="54"/>
      <c r="O44" s="85"/>
      <c r="P44" s="50"/>
      <c r="Q44" s="50"/>
    </row>
    <row r="45" spans="1:23" ht="17">
      <c r="A45" s="7" t="s">
        <v>88</v>
      </c>
      <c r="B45" s="26">
        <f>B39+B40+B41+B42+B43+B44</f>
        <v>6121</v>
      </c>
      <c r="C45" s="10"/>
      <c r="D45" s="21">
        <f>(D39+D40+D41+D42+D43+D44)</f>
        <v>-4.009519031387121E-2</v>
      </c>
      <c r="G45" s="66"/>
      <c r="K45" s="54"/>
      <c r="L45" s="54"/>
      <c r="M45" s="50"/>
      <c r="N45" s="54"/>
      <c r="O45" s="85"/>
      <c r="P45" s="50"/>
      <c r="Q45" s="50"/>
    </row>
    <row r="46" spans="1:23" ht="17">
      <c r="A46" s="5" t="s">
        <v>174</v>
      </c>
      <c r="B46" s="1"/>
      <c r="C46" s="10"/>
      <c r="D46" s="28">
        <f>1+D45</f>
        <v>0.95990480968612879</v>
      </c>
      <c r="E46" s="78" t="s">
        <v>90</v>
      </c>
      <c r="G46" s="66"/>
      <c r="K46" s="54"/>
      <c r="L46" s="54"/>
      <c r="M46" s="50"/>
      <c r="N46" s="54"/>
      <c r="O46" s="85"/>
      <c r="P46" s="50"/>
      <c r="Q46" s="50"/>
    </row>
    <row r="47" spans="1:23" ht="17">
      <c r="A47" s="7" t="s">
        <v>176</v>
      </c>
      <c r="B47" s="1"/>
      <c r="C47" s="10"/>
      <c r="D47" s="21">
        <f>100-(D46*100)</f>
        <v>4.0095190313871143</v>
      </c>
      <c r="E47" s="78" t="s">
        <v>101</v>
      </c>
      <c r="G47" s="66"/>
      <c r="K47" s="54"/>
      <c r="L47" s="54"/>
      <c r="M47" s="50"/>
      <c r="N47" s="54"/>
      <c r="O47" s="85"/>
      <c r="P47" s="50"/>
      <c r="Q47" s="50"/>
    </row>
    <row r="48" spans="1:23">
      <c r="A48" s="13"/>
      <c r="B48" s="13"/>
      <c r="C48" s="64"/>
      <c r="D48" s="14"/>
      <c r="G48" s="66"/>
      <c r="K48" s="54"/>
      <c r="L48" s="54"/>
      <c r="M48" s="50"/>
      <c r="N48" s="54"/>
      <c r="O48" s="85"/>
      <c r="P48" s="50"/>
      <c r="Q48" s="50"/>
    </row>
    <row r="49" spans="1:17" ht="17">
      <c r="A49" s="77" t="s">
        <v>178</v>
      </c>
      <c r="B49" s="13"/>
      <c r="C49" s="64"/>
      <c r="D49" s="64"/>
      <c r="E49" s="64"/>
      <c r="G49" s="66"/>
      <c r="K49" s="54"/>
      <c r="L49" s="54"/>
      <c r="M49" s="50"/>
      <c r="N49" s="54"/>
      <c r="O49" s="85"/>
      <c r="P49" s="50"/>
      <c r="Q49" s="50"/>
    </row>
    <row r="50" spans="1:17" ht="6" customHeight="1">
      <c r="A50" s="99"/>
      <c r="B50" s="99"/>
      <c r="C50" s="99"/>
      <c r="D50" s="99"/>
      <c r="E50" s="64"/>
      <c r="F50" s="49"/>
      <c r="G50" s="66"/>
      <c r="K50" s="54"/>
      <c r="L50" s="54"/>
      <c r="M50" s="50"/>
      <c r="N50" s="54"/>
      <c r="O50" s="85"/>
      <c r="P50" s="50"/>
      <c r="Q50" s="50"/>
    </row>
    <row r="51" spans="1:17" ht="22" customHeight="1">
      <c r="A51" s="99" t="s">
        <v>100</v>
      </c>
      <c r="B51" s="99" t="s">
        <v>58</v>
      </c>
      <c r="C51" s="99" t="s">
        <v>89</v>
      </c>
      <c r="D51" s="99" t="s">
        <v>173</v>
      </c>
      <c r="E51" s="64"/>
      <c r="G51" s="66"/>
      <c r="K51" s="54"/>
      <c r="L51" s="54"/>
      <c r="M51" s="50"/>
      <c r="N51" s="54"/>
      <c r="O51" s="85"/>
      <c r="P51" s="50"/>
      <c r="Q51" s="50"/>
    </row>
    <row r="52" spans="1:17" ht="17">
      <c r="A52" s="5" t="s">
        <v>91</v>
      </c>
      <c r="B52" s="106">
        <v>1726</v>
      </c>
      <c r="C52" s="27">
        <f>((B52/B64)*LOG(B52/B64))</f>
        <v>-0.13402699522930167</v>
      </c>
      <c r="D52" s="20">
        <f t="shared" ref="D52:D63" si="3">IF(B52=0,0,C52)</f>
        <v>-0.13402699522930167</v>
      </c>
      <c r="G52" s="66"/>
      <c r="K52" s="54"/>
      <c r="L52" s="54"/>
      <c r="M52" s="50"/>
      <c r="N52" s="54"/>
      <c r="O52" s="85"/>
      <c r="P52" s="50"/>
      <c r="Q52" s="50"/>
    </row>
    <row r="53" spans="1:17" ht="17">
      <c r="A53" s="5" t="s">
        <v>92</v>
      </c>
      <c r="B53" s="106">
        <v>1375</v>
      </c>
      <c r="C53" s="27">
        <f>((B53/B64)*LOG(B53/B64))</f>
        <v>-0.12092371011858404</v>
      </c>
      <c r="D53" s="20">
        <f t="shared" si="3"/>
        <v>-0.12092371011858404</v>
      </c>
      <c r="G53" s="66"/>
      <c r="K53" s="54"/>
      <c r="L53" s="54"/>
      <c r="M53" s="50"/>
      <c r="N53" s="54"/>
      <c r="O53" s="85"/>
      <c r="P53" s="50"/>
      <c r="Q53" s="50"/>
    </row>
    <row r="54" spans="1:17" ht="17">
      <c r="A54" s="5" t="s">
        <v>93</v>
      </c>
      <c r="B54" s="106">
        <v>2147</v>
      </c>
      <c r="C54" s="27">
        <f>((B54/B64)*LOG(B54/B64))</f>
        <v>-0.14550326205278927</v>
      </c>
      <c r="D54" s="20">
        <f t="shared" si="3"/>
        <v>-0.14550326205278927</v>
      </c>
      <c r="G54" s="66"/>
      <c r="K54" s="54"/>
      <c r="L54" s="54"/>
      <c r="M54" s="50"/>
      <c r="N54" s="54"/>
      <c r="O54" s="85"/>
      <c r="P54" s="50"/>
      <c r="Q54" s="50"/>
    </row>
    <row r="55" spans="1:17" ht="17">
      <c r="A55" s="5" t="s">
        <v>94</v>
      </c>
      <c r="B55" s="106">
        <v>889</v>
      </c>
      <c r="C55" s="27">
        <f>((B55/B64)*LOG(B55/B64))</f>
        <v>-9.5734789495599548E-2</v>
      </c>
      <c r="D55" s="20">
        <f t="shared" si="3"/>
        <v>-9.5734789495599548E-2</v>
      </c>
      <c r="G55" s="66"/>
      <c r="K55" s="54"/>
      <c r="L55" s="54"/>
      <c r="M55" s="50"/>
      <c r="N55" s="54"/>
      <c r="O55" s="85"/>
      <c r="P55" s="50"/>
      <c r="Q55" s="50"/>
    </row>
    <row r="56" spans="1:17" ht="17">
      <c r="A56" s="5" t="s">
        <v>95</v>
      </c>
      <c r="B56" s="106">
        <v>936</v>
      </c>
      <c r="C56" s="27">
        <f>((B56/B64)*LOG(B56/B64))</f>
        <v>-9.8613068446265884E-2</v>
      </c>
      <c r="D56" s="20">
        <f t="shared" si="3"/>
        <v>-9.8613068446265884E-2</v>
      </c>
      <c r="G56" s="66"/>
      <c r="K56" s="54"/>
      <c r="L56" s="54"/>
      <c r="M56" s="50"/>
      <c r="N56" s="54"/>
      <c r="O56" s="85"/>
      <c r="P56" s="50"/>
      <c r="Q56" s="50"/>
    </row>
    <row r="57" spans="1:17" ht="17">
      <c r="A57" s="5" t="s">
        <v>96</v>
      </c>
      <c r="B57" s="106">
        <v>248</v>
      </c>
      <c r="C57" s="27">
        <f>((B57/B64)*LOG(B57/B64))</f>
        <v>-4.1040413362207005E-2</v>
      </c>
      <c r="D57" s="20">
        <f t="shared" si="3"/>
        <v>-4.1040413362207005E-2</v>
      </c>
      <c r="G57" s="66"/>
      <c r="K57" s="54"/>
      <c r="L57" s="54"/>
      <c r="M57" s="50"/>
      <c r="N57" s="54"/>
      <c r="O57" s="85"/>
      <c r="P57" s="50"/>
      <c r="Q57" s="50"/>
    </row>
    <row r="58" spans="1:17" ht="34">
      <c r="A58" s="5" t="s">
        <v>97</v>
      </c>
      <c r="B58" s="106">
        <v>199</v>
      </c>
      <c r="C58" s="27">
        <f>((B58/B64)*LOG(B58/B64))</f>
        <v>-3.4914747445428239E-2</v>
      </c>
      <c r="D58" s="20">
        <f t="shared" si="3"/>
        <v>-3.4914747445428239E-2</v>
      </c>
      <c r="G58" s="66"/>
      <c r="K58" s="54"/>
      <c r="L58" s="54"/>
      <c r="M58" s="50"/>
      <c r="N58" s="54"/>
      <c r="O58" s="85"/>
      <c r="P58" s="50"/>
      <c r="Q58" s="50"/>
    </row>
    <row r="59" spans="1:17" ht="17">
      <c r="A59" s="5" t="s">
        <v>98</v>
      </c>
      <c r="B59" s="106">
        <v>2073</v>
      </c>
      <c r="C59" s="27">
        <f>((B59/B64)*LOG(B59/B64))</f>
        <v>-0.14377996561510284</v>
      </c>
      <c r="D59" s="20">
        <f t="shared" si="3"/>
        <v>-0.14377996561510284</v>
      </c>
      <c r="G59" s="66"/>
      <c r="K59" s="54"/>
      <c r="L59" s="54"/>
      <c r="M59" s="50"/>
      <c r="N59" s="54"/>
      <c r="O59" s="85"/>
      <c r="P59" s="50"/>
      <c r="Q59" s="50"/>
    </row>
    <row r="60" spans="1:17" ht="51">
      <c r="A60" s="5" t="s">
        <v>99</v>
      </c>
      <c r="B60" s="106">
        <v>0</v>
      </c>
      <c r="C60" s="27" t="e">
        <f>((B60/B64)*LOG(B60/B64))</f>
        <v>#NUM!</v>
      </c>
      <c r="D60" s="20">
        <f t="shared" si="3"/>
        <v>0</v>
      </c>
      <c r="G60" s="66"/>
      <c r="K60" s="54"/>
      <c r="L60" s="54"/>
      <c r="M60" s="50"/>
      <c r="N60" s="54"/>
      <c r="O60" s="85"/>
      <c r="P60" s="50"/>
      <c r="Q60" s="50"/>
    </row>
    <row r="61" spans="1:17" ht="17">
      <c r="A61" s="5" t="s">
        <v>181</v>
      </c>
      <c r="B61" s="106">
        <v>0</v>
      </c>
      <c r="C61" s="27" t="e">
        <f>((B61/B64)*LOG(B61/B64))</f>
        <v>#NUM!</v>
      </c>
      <c r="D61" s="20">
        <f t="shared" si="3"/>
        <v>0</v>
      </c>
      <c r="G61" s="66"/>
      <c r="K61" s="54"/>
      <c r="L61" s="54"/>
      <c r="M61" s="50"/>
      <c r="N61" s="54"/>
      <c r="O61" s="85"/>
      <c r="P61" s="50"/>
      <c r="Q61" s="50"/>
    </row>
    <row r="62" spans="1:17" ht="17">
      <c r="A62" s="5" t="s">
        <v>182</v>
      </c>
      <c r="B62" s="106">
        <v>0</v>
      </c>
      <c r="C62" s="27" t="e">
        <f>((B62/B64)*LOG(B62/B64))</f>
        <v>#NUM!</v>
      </c>
      <c r="D62" s="20">
        <f t="shared" si="3"/>
        <v>0</v>
      </c>
      <c r="G62" s="66"/>
      <c r="K62" s="54"/>
      <c r="L62" s="54"/>
      <c r="M62" s="50"/>
      <c r="N62" s="54"/>
      <c r="O62" s="85"/>
      <c r="P62" s="50"/>
      <c r="Q62" s="50"/>
    </row>
    <row r="63" spans="1:17" ht="17">
      <c r="A63" s="5" t="s">
        <v>183</v>
      </c>
      <c r="B63" s="106">
        <v>0</v>
      </c>
      <c r="C63" s="27" t="e">
        <f>((B63/B64)*LOG(B63/B64))</f>
        <v>#NUM!</v>
      </c>
      <c r="D63" s="20">
        <f t="shared" si="3"/>
        <v>0</v>
      </c>
      <c r="G63" s="66"/>
      <c r="K63" s="54"/>
      <c r="L63" s="54"/>
      <c r="M63" s="50"/>
      <c r="N63" s="54"/>
      <c r="O63" s="85"/>
      <c r="P63" s="50"/>
      <c r="Q63" s="50"/>
    </row>
    <row r="64" spans="1:17" ht="17">
      <c r="A64" s="7" t="s">
        <v>88</v>
      </c>
      <c r="B64" s="26">
        <f>B52+B53+B54+B55+B56+B57+B58+B59+B60+B61+B62+B63</f>
        <v>9593</v>
      </c>
      <c r="C64" s="8"/>
      <c r="D64" s="21">
        <f>D52+D53+D54+D55+D56+D57+D58+D59+D60+D61+D62+D63</f>
        <v>-0.81453695176527852</v>
      </c>
      <c r="K64" s="54"/>
      <c r="L64" s="54"/>
      <c r="M64" s="50"/>
      <c r="N64" s="54"/>
      <c r="O64" s="85"/>
      <c r="P64" s="50"/>
      <c r="Q64" s="50"/>
    </row>
    <row r="65" spans="1:23" ht="17">
      <c r="A65" s="5" t="s">
        <v>174</v>
      </c>
      <c r="B65" s="9"/>
      <c r="C65" s="8"/>
      <c r="D65" s="29">
        <f>1+D64</f>
        <v>0.18546304823472148</v>
      </c>
      <c r="E65" s="78" t="s">
        <v>90</v>
      </c>
      <c r="K65" s="54"/>
      <c r="L65" s="54"/>
      <c r="M65" s="50"/>
      <c r="N65" s="54"/>
      <c r="O65" s="85"/>
      <c r="P65" s="50"/>
      <c r="Q65" s="50"/>
    </row>
    <row r="66" spans="1:23" ht="17">
      <c r="A66" s="7" t="s">
        <v>179</v>
      </c>
      <c r="B66" s="2"/>
      <c r="C66" s="2"/>
      <c r="D66" s="21">
        <f>100-(D65*100)</f>
        <v>81.453695176527845</v>
      </c>
      <c r="E66" s="78" t="s">
        <v>101</v>
      </c>
      <c r="K66" s="54"/>
      <c r="L66" s="54"/>
      <c r="M66" s="50"/>
      <c r="N66" s="54"/>
      <c r="O66" s="85"/>
      <c r="P66" s="50"/>
      <c r="Q66" s="50"/>
    </row>
    <row r="67" spans="1:23" s="14" customFormat="1" ht="12" customHeight="1">
      <c r="A67" s="77"/>
      <c r="B67" s="77"/>
      <c r="C67" s="77"/>
      <c r="D67" s="77"/>
      <c r="E67" s="13"/>
      <c r="F67" s="64"/>
      <c r="G67" s="82"/>
      <c r="H67" s="66"/>
      <c r="I67" s="66"/>
      <c r="J67" s="66"/>
      <c r="K67" s="54"/>
      <c r="L67" s="54"/>
      <c r="M67" s="50"/>
      <c r="N67" s="54"/>
      <c r="O67" s="85"/>
      <c r="P67" s="50"/>
      <c r="Q67" s="50"/>
      <c r="R67" s="66"/>
      <c r="S67" s="66"/>
      <c r="T67" s="66"/>
      <c r="U67" s="66"/>
      <c r="V67" s="66"/>
      <c r="W67" s="66"/>
    </row>
    <row r="68" spans="1:23" s="14" customFormat="1" ht="17">
      <c r="A68" s="99" t="s">
        <v>105</v>
      </c>
      <c r="B68" s="99"/>
      <c r="C68" s="99"/>
      <c r="D68" s="99"/>
      <c r="E68" s="64"/>
      <c r="F68" s="64"/>
      <c r="G68" s="82"/>
      <c r="H68" s="66"/>
      <c r="I68" s="66"/>
      <c r="J68" s="66"/>
      <c r="K68" s="54"/>
      <c r="L68" s="54"/>
      <c r="M68" s="50"/>
      <c r="N68" s="54"/>
      <c r="O68" s="85"/>
      <c r="P68" s="50"/>
      <c r="Q68" s="50"/>
      <c r="R68" s="66"/>
      <c r="S68" s="66"/>
      <c r="T68" s="66"/>
      <c r="U68" s="66"/>
      <c r="V68" s="66"/>
      <c r="W68" s="66"/>
    </row>
    <row r="69" spans="1:23" s="14" customFormat="1" ht="26" customHeight="1">
      <c r="A69" s="99" t="s">
        <v>14</v>
      </c>
      <c r="B69" s="99" t="s">
        <v>58</v>
      </c>
      <c r="C69" s="99" t="s">
        <v>89</v>
      </c>
      <c r="D69" s="99" t="s">
        <v>173</v>
      </c>
      <c r="E69" s="64"/>
      <c r="F69" s="64"/>
      <c r="G69" s="82"/>
      <c r="H69" s="66"/>
      <c r="I69" s="66"/>
      <c r="J69" s="66"/>
      <c r="K69" s="54"/>
      <c r="L69" s="54"/>
      <c r="M69" s="50"/>
      <c r="N69" s="54"/>
      <c r="O69" s="85"/>
      <c r="P69" s="50"/>
      <c r="Q69" s="50"/>
      <c r="R69" s="66"/>
      <c r="S69" s="66"/>
      <c r="T69" s="66"/>
      <c r="U69" s="66"/>
      <c r="V69" s="66"/>
      <c r="W69" s="66"/>
    </row>
    <row r="70" spans="1:23" ht="17">
      <c r="A70" s="5" t="s">
        <v>106</v>
      </c>
      <c r="B70" s="106">
        <v>0</v>
      </c>
      <c r="C70" s="27" t="e">
        <f>((B70/B76)*LOG(B70/B76))</f>
        <v>#NUM!</v>
      </c>
      <c r="D70" s="20">
        <f t="shared" ref="D70:D75" si="4">IF(B70=0,0,C70)</f>
        <v>0</v>
      </c>
      <c r="K70" s="54"/>
      <c r="L70" s="54"/>
      <c r="M70" s="50"/>
      <c r="N70" s="54"/>
      <c r="O70" s="85"/>
      <c r="P70" s="50"/>
      <c r="Q70" s="50"/>
    </row>
    <row r="71" spans="1:23" ht="17">
      <c r="A71" s="5" t="s">
        <v>107</v>
      </c>
      <c r="B71" s="106">
        <v>1</v>
      </c>
      <c r="C71" s="27">
        <f>((B71/B76)*LOG(B71/B76))</f>
        <v>-6.9737361394628106E-2</v>
      </c>
      <c r="D71" s="20">
        <f t="shared" si="4"/>
        <v>-6.9737361394628106E-2</v>
      </c>
      <c r="K71" s="54"/>
      <c r="L71" s="54"/>
      <c r="M71" s="50"/>
      <c r="N71" s="54"/>
      <c r="O71" s="85"/>
      <c r="P71" s="50"/>
      <c r="Q71" s="50"/>
    </row>
    <row r="72" spans="1:23" ht="17">
      <c r="A72" s="5" t="s">
        <v>108</v>
      </c>
      <c r="B72" s="106">
        <v>2</v>
      </c>
      <c r="C72" s="27">
        <f>((B72/B76)*LOG(B72/B76))</f>
        <v>-0.10602694549325831</v>
      </c>
      <c r="D72" s="20">
        <f t="shared" si="4"/>
        <v>-0.10602694549325831</v>
      </c>
      <c r="K72" s="54"/>
      <c r="L72" s="54"/>
      <c r="M72" s="50"/>
      <c r="N72" s="54"/>
      <c r="O72" s="85"/>
      <c r="P72" s="50"/>
      <c r="Q72" s="50"/>
    </row>
    <row r="73" spans="1:23" ht="17">
      <c r="A73" s="5" t="s">
        <v>36</v>
      </c>
      <c r="B73" s="106">
        <v>5</v>
      </c>
      <c r="C73" s="27">
        <f>((B73/B76)*LOG(B73/B76))</f>
        <v>-0.15452847243535758</v>
      </c>
      <c r="D73" s="20">
        <f t="shared" si="4"/>
        <v>-0.15452847243535758</v>
      </c>
      <c r="K73" s="54"/>
      <c r="L73" s="54"/>
      <c r="M73" s="50"/>
      <c r="N73" s="54"/>
      <c r="O73" s="85"/>
      <c r="P73" s="50"/>
      <c r="Q73" s="50"/>
    </row>
    <row r="74" spans="1:23" ht="17">
      <c r="A74" s="5" t="s">
        <v>109</v>
      </c>
      <c r="B74" s="106">
        <v>10</v>
      </c>
      <c r="C74" s="27">
        <f>((B74/B76)*LOG(B74/B76))</f>
        <v>-0.14181805839072559</v>
      </c>
      <c r="D74" s="20">
        <f t="shared" si="4"/>
        <v>-0.14181805839072559</v>
      </c>
      <c r="K74" s="54"/>
      <c r="L74" s="54"/>
      <c r="M74" s="50"/>
      <c r="N74" s="54"/>
      <c r="O74" s="85"/>
      <c r="P74" s="50"/>
      <c r="Q74" s="50"/>
    </row>
    <row r="75" spans="1:23" ht="17">
      <c r="A75" s="5" t="s">
        <v>180</v>
      </c>
      <c r="B75" s="106">
        <v>0</v>
      </c>
      <c r="C75" s="27" t="e">
        <f>((B75/B76)*LOG(B75/B76))</f>
        <v>#NUM!</v>
      </c>
      <c r="D75" s="20">
        <f t="shared" si="4"/>
        <v>0</v>
      </c>
      <c r="K75" s="54"/>
      <c r="L75" s="54"/>
      <c r="M75" s="50"/>
      <c r="N75" s="54"/>
      <c r="O75" s="85"/>
      <c r="P75" s="50"/>
      <c r="Q75" s="50"/>
    </row>
    <row r="76" spans="1:23" ht="17">
      <c r="A76" s="7" t="s">
        <v>88</v>
      </c>
      <c r="B76" s="26">
        <f>B70+B71+B72+B73+B74</f>
        <v>18</v>
      </c>
      <c r="C76" s="8"/>
      <c r="D76" s="21">
        <f>D70+D71+D72+D73+D74+D75</f>
        <v>-0.47211083771396956</v>
      </c>
      <c r="K76" s="54"/>
      <c r="L76" s="54"/>
      <c r="M76" s="50"/>
      <c r="N76" s="54"/>
      <c r="O76" s="85"/>
      <c r="P76" s="50"/>
      <c r="Q76" s="50"/>
    </row>
    <row r="77" spans="1:23" ht="17">
      <c r="A77" s="5" t="s">
        <v>174</v>
      </c>
      <c r="B77" s="11"/>
      <c r="C77" s="11"/>
      <c r="D77" s="29">
        <f>1+D76</f>
        <v>0.52788916228603044</v>
      </c>
      <c r="E77" s="78" t="s">
        <v>90</v>
      </c>
      <c r="K77" s="54"/>
      <c r="L77" s="54"/>
      <c r="M77" s="50"/>
      <c r="N77" s="54"/>
      <c r="O77" s="85"/>
      <c r="P77" s="50"/>
      <c r="Q77" s="50"/>
    </row>
    <row r="78" spans="1:23" ht="17">
      <c r="A78" s="30" t="s">
        <v>185</v>
      </c>
      <c r="B78" s="11"/>
      <c r="C78" s="11"/>
      <c r="D78" s="21">
        <f>100-(D77*100)</f>
        <v>47.211083771396957</v>
      </c>
      <c r="E78" s="78" t="s">
        <v>101</v>
      </c>
      <c r="F78" s="79"/>
      <c r="K78" s="54"/>
      <c r="L78" s="54"/>
      <c r="M78" s="50"/>
      <c r="N78" s="54"/>
      <c r="O78" s="85"/>
      <c r="P78" s="50"/>
      <c r="Q78" s="50"/>
    </row>
    <row r="79" spans="1:23" s="14" customFormat="1" ht="11" customHeight="1">
      <c r="A79" s="99"/>
      <c r="B79" s="13"/>
      <c r="C79" s="13"/>
      <c r="D79" s="100"/>
      <c r="E79" s="78"/>
      <c r="F79" s="79"/>
      <c r="G79" s="82"/>
      <c r="H79" s="66"/>
      <c r="I79" s="66"/>
      <c r="J79" s="66"/>
      <c r="K79" s="54"/>
      <c r="L79" s="54"/>
      <c r="M79" s="50"/>
      <c r="N79" s="54"/>
      <c r="O79" s="85"/>
      <c r="P79" s="50"/>
      <c r="Q79" s="50"/>
      <c r="R79" s="66"/>
      <c r="S79" s="66"/>
      <c r="T79" s="66"/>
      <c r="U79" s="66"/>
      <c r="V79" s="66"/>
      <c r="W79" s="66"/>
    </row>
    <row r="80" spans="1:23" s="14" customFormat="1" ht="17">
      <c r="A80" s="99" t="s">
        <v>110</v>
      </c>
      <c r="B80" s="64"/>
      <c r="C80" s="74"/>
      <c r="D80" s="64"/>
      <c r="E80" s="64"/>
      <c r="F80" s="79"/>
      <c r="G80" s="82"/>
      <c r="H80" s="66"/>
      <c r="I80" s="66"/>
      <c r="J80" s="66"/>
      <c r="K80" s="54"/>
      <c r="L80" s="54"/>
      <c r="M80" s="50"/>
      <c r="N80" s="54"/>
      <c r="O80" s="85"/>
      <c r="P80" s="50"/>
      <c r="Q80" s="50"/>
      <c r="R80" s="66"/>
      <c r="S80" s="66"/>
      <c r="T80" s="66"/>
      <c r="U80" s="66"/>
      <c r="V80" s="66"/>
      <c r="W80" s="66"/>
    </row>
    <row r="81" spans="1:23" s="14" customFormat="1" ht="29" customHeight="1">
      <c r="A81" s="99" t="s">
        <v>14</v>
      </c>
      <c r="B81" s="99" t="s">
        <v>58</v>
      </c>
      <c r="C81" s="99" t="s">
        <v>89</v>
      </c>
      <c r="D81" s="99" t="s">
        <v>173</v>
      </c>
      <c r="E81" s="64"/>
      <c r="F81" s="79"/>
      <c r="G81" s="82"/>
      <c r="H81" s="66"/>
      <c r="I81" s="66"/>
      <c r="J81" s="66"/>
      <c r="K81" s="54"/>
      <c r="L81" s="54"/>
      <c r="M81" s="50"/>
      <c r="N81" s="54"/>
      <c r="O81" s="85"/>
      <c r="P81" s="50"/>
      <c r="Q81" s="50"/>
      <c r="R81" s="66"/>
      <c r="S81" s="66"/>
      <c r="T81" s="66"/>
      <c r="U81" s="66"/>
      <c r="V81" s="66"/>
      <c r="W81" s="66"/>
    </row>
    <row r="82" spans="1:23" ht="17">
      <c r="A82" s="5" t="s">
        <v>186</v>
      </c>
      <c r="B82" s="106">
        <v>3</v>
      </c>
      <c r="C82" s="27">
        <f>((B82/B87)*LOG(B82/B87))</f>
        <v>-0.15389220830142616</v>
      </c>
      <c r="D82" s="20">
        <f>IF(B82=0,0,C82)</f>
        <v>-0.15389220830142616</v>
      </c>
      <c r="E82" s="64"/>
      <c r="F82" s="79"/>
      <c r="K82" s="54"/>
      <c r="L82" s="54"/>
      <c r="M82" s="50"/>
      <c r="N82" s="54"/>
      <c r="O82" s="85"/>
      <c r="P82" s="50"/>
      <c r="Q82" s="50"/>
    </row>
    <row r="83" spans="1:23" ht="17">
      <c r="A83" s="5" t="s">
        <v>111</v>
      </c>
      <c r="B83" s="106">
        <v>3</v>
      </c>
      <c r="C83" s="27">
        <f>((B83/B87)*LOG(B83/B87))</f>
        <v>-0.15389220830142616</v>
      </c>
      <c r="D83" s="20">
        <f>IF(B83=0,0,C83)</f>
        <v>-0.15389220830142616</v>
      </c>
      <c r="E83" s="64"/>
      <c r="F83" s="79"/>
      <c r="K83" s="54"/>
      <c r="L83" s="54"/>
      <c r="M83" s="50"/>
      <c r="N83" s="54"/>
      <c r="O83" s="85"/>
      <c r="P83" s="50"/>
      <c r="Q83" s="50"/>
    </row>
    <row r="84" spans="1:23" ht="17">
      <c r="A84" s="5" t="s">
        <v>112</v>
      </c>
      <c r="B84" s="106">
        <v>5</v>
      </c>
      <c r="C84" s="27">
        <f>((B84/B87)*LOG(B84/B87))</f>
        <v>-0.15564667310100283</v>
      </c>
      <c r="D84" s="20">
        <f>IF(B84=0,0,C84)</f>
        <v>-0.15564667310100283</v>
      </c>
      <c r="E84" s="64"/>
      <c r="F84" s="79"/>
      <c r="K84" s="54"/>
      <c r="L84" s="54"/>
      <c r="M84" s="50"/>
      <c r="N84" s="54"/>
      <c r="O84" s="85"/>
      <c r="P84" s="50"/>
      <c r="Q84" s="50"/>
    </row>
    <row r="85" spans="1:23" ht="17">
      <c r="A85" s="5" t="s">
        <v>113</v>
      </c>
      <c r="B85" s="106">
        <v>0</v>
      </c>
      <c r="C85" s="27" t="e">
        <f>((B85/B87)*LOG(B85/B87))</f>
        <v>#NUM!</v>
      </c>
      <c r="D85" s="20">
        <f>IF(B85=0,0,C85)</f>
        <v>0</v>
      </c>
      <c r="E85" s="64"/>
      <c r="F85" s="79"/>
      <c r="K85" s="54"/>
      <c r="L85" s="54"/>
      <c r="M85" s="50"/>
      <c r="N85" s="54"/>
      <c r="O85" s="85"/>
      <c r="P85" s="50"/>
      <c r="Q85" s="50"/>
    </row>
    <row r="86" spans="1:23" ht="17">
      <c r="A86" s="5" t="s">
        <v>180</v>
      </c>
      <c r="B86" s="106">
        <v>0</v>
      </c>
      <c r="C86" s="27" t="e">
        <f>((B86/B87)*LOG(B86/B87))</f>
        <v>#NUM!</v>
      </c>
      <c r="D86" s="20">
        <f>IF(B86=0,0,C86)</f>
        <v>0</v>
      </c>
      <c r="E86" s="64"/>
      <c r="F86" s="79"/>
      <c r="K86" s="54"/>
      <c r="L86" s="54"/>
      <c r="M86" s="50"/>
      <c r="N86" s="54"/>
      <c r="O86" s="85"/>
      <c r="P86" s="50"/>
      <c r="Q86" s="50"/>
    </row>
    <row r="87" spans="1:23" ht="17">
      <c r="A87" s="7" t="s">
        <v>88</v>
      </c>
      <c r="B87" s="26">
        <f>B82+B83+B84+B85</f>
        <v>11</v>
      </c>
      <c r="C87" s="19"/>
      <c r="D87" s="21">
        <f>D82+D83+D84+D85+D86</f>
        <v>-0.46343108970385516</v>
      </c>
      <c r="E87" s="78"/>
      <c r="F87" s="79"/>
      <c r="K87" s="54"/>
      <c r="L87" s="54"/>
      <c r="M87" s="50"/>
      <c r="N87" s="54"/>
      <c r="O87" s="85"/>
      <c r="P87" s="50"/>
      <c r="Q87" s="50"/>
    </row>
    <row r="88" spans="1:23" ht="17">
      <c r="A88" s="5" t="s">
        <v>174</v>
      </c>
      <c r="B88" s="8"/>
      <c r="C88" s="19"/>
      <c r="D88" s="29">
        <f>1+D87</f>
        <v>0.53656891029614484</v>
      </c>
      <c r="E88" s="78" t="s">
        <v>90</v>
      </c>
      <c r="F88" s="79"/>
      <c r="K88" s="54"/>
      <c r="L88" s="54"/>
      <c r="M88" s="50"/>
      <c r="N88" s="54"/>
      <c r="O88" s="85"/>
      <c r="P88" s="50"/>
      <c r="Q88" s="50"/>
    </row>
    <row r="89" spans="1:23" ht="17">
      <c r="A89" s="7" t="s">
        <v>187</v>
      </c>
      <c r="B89" s="8"/>
      <c r="C89" s="19"/>
      <c r="D89" s="21">
        <f>100-(D88*100)</f>
        <v>46.343108970385515</v>
      </c>
      <c r="E89" s="78" t="s">
        <v>101</v>
      </c>
      <c r="K89" s="54"/>
      <c r="L89" s="54"/>
      <c r="M89" s="50"/>
      <c r="N89" s="54"/>
      <c r="O89" s="85"/>
      <c r="P89" s="50"/>
      <c r="Q89" s="50"/>
    </row>
    <row r="90" spans="1:23" s="14" customFormat="1" ht="11" customHeight="1">
      <c r="A90" s="99"/>
      <c r="B90" s="99"/>
      <c r="C90" s="99"/>
      <c r="E90" s="78"/>
      <c r="F90" s="64"/>
      <c r="G90" s="82"/>
      <c r="H90" s="66"/>
      <c r="I90" s="66"/>
      <c r="J90" s="66"/>
      <c r="K90" s="54"/>
      <c r="L90" s="54"/>
      <c r="M90" s="50"/>
      <c r="N90" s="54"/>
      <c r="O90" s="85"/>
      <c r="P90" s="50"/>
      <c r="Q90" s="50"/>
      <c r="R90" s="66"/>
      <c r="S90" s="66"/>
      <c r="T90" s="66"/>
      <c r="U90" s="66"/>
      <c r="V90" s="66"/>
      <c r="W90" s="66"/>
    </row>
    <row r="91" spans="1:23" s="14" customFormat="1" ht="14" customHeight="1">
      <c r="A91" s="99" t="s">
        <v>84</v>
      </c>
      <c r="B91" s="64"/>
      <c r="C91" s="64"/>
      <c r="D91" s="64"/>
      <c r="F91" s="64"/>
      <c r="G91" s="82"/>
      <c r="H91" s="66"/>
      <c r="I91" s="66"/>
      <c r="J91" s="66"/>
      <c r="K91" s="54"/>
      <c r="L91" s="54"/>
      <c r="M91" s="50"/>
      <c r="N91" s="54"/>
      <c r="O91" s="85"/>
      <c r="P91" s="50"/>
      <c r="Q91" s="50"/>
      <c r="R91" s="66"/>
      <c r="S91" s="66"/>
      <c r="T91" s="66"/>
      <c r="U91" s="66"/>
      <c r="V91" s="66"/>
      <c r="W91" s="66"/>
    </row>
    <row r="92" spans="1:23" s="14" customFormat="1" ht="24" customHeight="1">
      <c r="A92" s="99" t="s">
        <v>114</v>
      </c>
      <c r="B92" s="99" t="s">
        <v>58</v>
      </c>
      <c r="C92" s="99" t="s">
        <v>89</v>
      </c>
      <c r="D92" s="99" t="s">
        <v>173</v>
      </c>
      <c r="E92" s="78"/>
      <c r="F92" s="78"/>
      <c r="G92" s="82"/>
      <c r="H92" s="66"/>
      <c r="I92" s="66"/>
      <c r="J92" s="66"/>
      <c r="K92" s="54"/>
      <c r="L92" s="54"/>
      <c r="M92" s="50"/>
      <c r="N92" s="54"/>
      <c r="O92" s="85"/>
      <c r="P92" s="50"/>
      <c r="Q92" s="50"/>
      <c r="R92" s="66"/>
      <c r="S92" s="66"/>
      <c r="T92" s="66"/>
      <c r="U92" s="66"/>
      <c r="V92" s="66"/>
      <c r="W92" s="66"/>
    </row>
    <row r="93" spans="1:23" ht="17">
      <c r="A93" s="5" t="s">
        <v>85</v>
      </c>
      <c r="B93" s="106">
        <v>6539</v>
      </c>
      <c r="C93" s="27">
        <f>((B93/B96)*LOG(B93/B96))</f>
        <v>-0.15614012703069263</v>
      </c>
      <c r="D93" s="20">
        <f t="shared" ref="D93:D95" si="5">IF(B93=0,0,C93)</f>
        <v>-0.15614012703069263</v>
      </c>
      <c r="E93" s="78"/>
      <c r="F93" s="78"/>
      <c r="K93" s="54"/>
      <c r="L93" s="54"/>
      <c r="M93" s="50"/>
      <c r="N93" s="54"/>
      <c r="O93" s="85"/>
      <c r="P93" s="50"/>
      <c r="Q93" s="50"/>
    </row>
    <row r="94" spans="1:23" ht="17">
      <c r="A94" s="5" t="s">
        <v>86</v>
      </c>
      <c r="B94" s="106">
        <v>8024</v>
      </c>
      <c r="C94" s="27">
        <f>((B94/B96)*LOG(B94/B96))</f>
        <v>-0.1426280350415545</v>
      </c>
      <c r="D94" s="20">
        <f t="shared" si="5"/>
        <v>-0.1426280350415545</v>
      </c>
      <c r="E94" s="78"/>
      <c r="F94" s="78"/>
      <c r="K94" s="54"/>
      <c r="L94" s="54"/>
      <c r="M94" s="50"/>
      <c r="N94" s="54"/>
      <c r="O94" s="85"/>
      <c r="P94" s="50"/>
      <c r="Q94" s="50"/>
    </row>
    <row r="95" spans="1:23" ht="17">
      <c r="A95" s="5" t="s">
        <v>188</v>
      </c>
      <c r="B95" s="106">
        <v>0</v>
      </c>
      <c r="C95" s="27" t="e">
        <f>((B95/B96)*LOG(B95/B96))</f>
        <v>#NUM!</v>
      </c>
      <c r="D95" s="20">
        <f t="shared" si="5"/>
        <v>0</v>
      </c>
      <c r="E95" s="78"/>
      <c r="F95" s="78"/>
      <c r="K95" s="54"/>
      <c r="L95" s="54"/>
      <c r="M95" s="50"/>
      <c r="N95" s="54"/>
      <c r="O95" s="85"/>
      <c r="P95" s="50"/>
      <c r="Q95" s="50"/>
    </row>
    <row r="96" spans="1:23" ht="17">
      <c r="A96" s="7" t="s">
        <v>88</v>
      </c>
      <c r="B96" s="26">
        <f>B93+B94+B95</f>
        <v>14563</v>
      </c>
      <c r="C96" s="10"/>
      <c r="D96" s="21">
        <f>D93+D94+D95</f>
        <v>-0.2987681620722471</v>
      </c>
      <c r="E96" s="78"/>
      <c r="F96" s="78"/>
      <c r="K96" s="54"/>
      <c r="L96" s="54"/>
      <c r="M96" s="50"/>
      <c r="N96" s="54"/>
      <c r="O96" s="85"/>
      <c r="P96" s="50"/>
      <c r="Q96" s="50"/>
    </row>
    <row r="97" spans="1:17" ht="17">
      <c r="A97" s="5" t="s">
        <v>174</v>
      </c>
      <c r="B97" s="10"/>
      <c r="C97" s="10"/>
      <c r="D97" s="29">
        <f>1+D96</f>
        <v>0.7012318379277529</v>
      </c>
      <c r="E97" s="78" t="s">
        <v>90</v>
      </c>
      <c r="F97" s="78"/>
      <c r="K97" s="54"/>
      <c r="L97" s="54"/>
      <c r="M97" s="50"/>
      <c r="N97" s="54"/>
      <c r="O97" s="85"/>
      <c r="P97" s="50"/>
      <c r="Q97" s="50"/>
    </row>
    <row r="98" spans="1:17" ht="17">
      <c r="A98" s="7" t="s">
        <v>189</v>
      </c>
      <c r="B98" s="10"/>
      <c r="C98" s="10"/>
      <c r="D98" s="21">
        <f>100-(D97*100)</f>
        <v>29.876816207224707</v>
      </c>
      <c r="E98" s="78" t="s">
        <v>101</v>
      </c>
      <c r="F98" s="78"/>
      <c r="G98" s="66"/>
      <c r="K98" s="54"/>
      <c r="L98" s="54"/>
      <c r="M98" s="50"/>
      <c r="N98" s="54"/>
      <c r="O98" s="85"/>
      <c r="P98" s="50"/>
      <c r="Q98" s="50"/>
    </row>
    <row r="99" spans="1:17">
      <c r="A99" s="99"/>
      <c r="B99" s="109"/>
      <c r="C99" s="109"/>
      <c r="D99" s="14"/>
      <c r="E99" s="78"/>
      <c r="F99" s="78"/>
      <c r="G99" s="66"/>
      <c r="K99" s="54"/>
      <c r="L99" s="54"/>
      <c r="M99" s="50"/>
      <c r="N99" s="54"/>
      <c r="O99" s="85"/>
      <c r="P99" s="50"/>
      <c r="Q99" s="50"/>
    </row>
    <row r="100" spans="1:17" ht="17">
      <c r="A100" s="99" t="s">
        <v>190</v>
      </c>
      <c r="B100" s="109"/>
      <c r="C100" s="109"/>
      <c r="D100" s="14"/>
      <c r="E100" s="78"/>
      <c r="F100" s="78"/>
      <c r="G100" s="66"/>
      <c r="K100" s="54"/>
      <c r="L100" s="54"/>
      <c r="M100" s="50"/>
      <c r="N100" s="54"/>
      <c r="O100" s="85"/>
      <c r="P100" s="50"/>
      <c r="Q100" s="50"/>
    </row>
    <row r="101" spans="1:17" ht="17">
      <c r="A101" s="5" t="s">
        <v>55</v>
      </c>
      <c r="B101" s="10"/>
      <c r="C101" s="10"/>
      <c r="D101" s="17">
        <f>D47</f>
        <v>4.0095190313871143</v>
      </c>
      <c r="E101" s="78" t="s">
        <v>101</v>
      </c>
      <c r="F101" s="78"/>
      <c r="K101" s="54"/>
      <c r="L101" s="54"/>
      <c r="M101" s="50"/>
      <c r="N101" s="54"/>
      <c r="O101" s="85"/>
      <c r="P101" s="50"/>
      <c r="Q101" s="50"/>
    </row>
    <row r="102" spans="1:17" ht="17">
      <c r="A102" s="5" t="s">
        <v>23</v>
      </c>
      <c r="B102" s="10"/>
      <c r="C102" s="10"/>
      <c r="D102" s="17">
        <f>D66</f>
        <v>81.453695176527845</v>
      </c>
      <c r="E102" s="78" t="s">
        <v>101</v>
      </c>
      <c r="K102" s="54"/>
      <c r="L102" s="54"/>
      <c r="M102" s="50"/>
      <c r="N102" s="54"/>
      <c r="O102" s="85"/>
      <c r="P102" s="50"/>
      <c r="Q102" s="50"/>
    </row>
    <row r="103" spans="1:17" ht="17">
      <c r="A103" s="5" t="s">
        <v>102</v>
      </c>
      <c r="B103" s="10"/>
      <c r="C103" s="10"/>
      <c r="D103" s="17">
        <f>(D6/D7)*100</f>
        <v>84.97986812160822</v>
      </c>
      <c r="E103" s="78" t="s">
        <v>101</v>
      </c>
      <c r="K103" s="54"/>
      <c r="L103" s="54"/>
      <c r="M103" s="50"/>
      <c r="N103" s="54"/>
      <c r="O103" s="85"/>
      <c r="P103" s="50"/>
      <c r="Q103" s="50"/>
    </row>
    <row r="104" spans="1:17" ht="17">
      <c r="A104" s="5" t="s">
        <v>57</v>
      </c>
      <c r="B104" s="10"/>
      <c r="C104" s="10"/>
      <c r="D104" s="17">
        <f>I26</f>
        <v>138.83037988816966</v>
      </c>
      <c r="E104" s="78" t="s">
        <v>101</v>
      </c>
      <c r="K104" s="54"/>
      <c r="L104" s="54"/>
      <c r="M104" s="50"/>
      <c r="N104" s="54"/>
      <c r="O104" s="85"/>
      <c r="P104" s="50"/>
      <c r="Q104" s="50"/>
    </row>
    <row r="105" spans="1:17" ht="17">
      <c r="A105" s="5" t="s">
        <v>26</v>
      </c>
      <c r="B105" s="10"/>
      <c r="C105" s="10"/>
      <c r="D105" s="17">
        <f>D78</f>
        <v>47.211083771396957</v>
      </c>
      <c r="E105" s="78" t="s">
        <v>101</v>
      </c>
      <c r="K105" s="54"/>
      <c r="L105" s="54"/>
      <c r="M105" s="50"/>
      <c r="N105" s="54"/>
      <c r="O105" s="85"/>
      <c r="P105" s="50"/>
      <c r="Q105" s="50"/>
    </row>
    <row r="106" spans="1:17" ht="17">
      <c r="A106" s="5" t="s">
        <v>11</v>
      </c>
      <c r="B106" s="10"/>
      <c r="C106" s="10"/>
      <c r="D106" s="17">
        <f>D89</f>
        <v>46.343108970385515</v>
      </c>
      <c r="E106" s="78" t="s">
        <v>101</v>
      </c>
      <c r="K106" s="54"/>
      <c r="L106" s="54"/>
      <c r="M106" s="50"/>
      <c r="N106" s="54"/>
      <c r="O106" s="85"/>
      <c r="P106" s="50"/>
      <c r="Q106" s="50"/>
    </row>
    <row r="107" spans="1:17" ht="17">
      <c r="A107" s="5" t="s">
        <v>114</v>
      </c>
      <c r="B107" s="10"/>
      <c r="C107" s="10"/>
      <c r="D107" s="17">
        <f>D98</f>
        <v>29.876816207224707</v>
      </c>
      <c r="E107" s="78" t="s">
        <v>101</v>
      </c>
      <c r="F107" s="79"/>
      <c r="K107" s="54"/>
      <c r="L107" s="54"/>
      <c r="M107" s="50"/>
      <c r="N107" s="54"/>
      <c r="O107" s="85"/>
      <c r="P107" s="50"/>
      <c r="Q107" s="50"/>
    </row>
    <row r="108" spans="1:17" ht="17">
      <c r="A108" s="5" t="s">
        <v>24</v>
      </c>
      <c r="B108" s="26">
        <f>B11+B13+B14+B15+B16+B18+B19+B20+B21+B22+(B12/2)</f>
        <v>158</v>
      </c>
      <c r="D108" s="17">
        <f>((B108*100)/L19)</f>
        <v>36.238532110091747</v>
      </c>
      <c r="E108" s="78" t="s">
        <v>101</v>
      </c>
      <c r="F108" s="79"/>
      <c r="K108" s="54"/>
      <c r="L108" s="54"/>
      <c r="M108" s="50"/>
      <c r="N108" s="54"/>
      <c r="O108" s="85"/>
      <c r="P108" s="50"/>
      <c r="Q108" s="50"/>
    </row>
    <row r="109" spans="1:17" ht="17">
      <c r="A109" s="5" t="s">
        <v>25</v>
      </c>
      <c r="B109" s="26">
        <f>B12+(B11/2)</f>
        <v>18</v>
      </c>
      <c r="D109" s="17">
        <f>((B109*100)/L20)</f>
        <v>13.953488372093023</v>
      </c>
      <c r="E109" s="78" t="s">
        <v>101</v>
      </c>
      <c r="F109" s="79"/>
      <c r="K109" s="54"/>
      <c r="L109" s="54"/>
      <c r="M109" s="50"/>
      <c r="N109" s="54"/>
      <c r="O109" s="85"/>
      <c r="P109" s="50"/>
      <c r="Q109" s="50"/>
    </row>
    <row r="110" spans="1:17" ht="17">
      <c r="A110" s="7" t="s">
        <v>103</v>
      </c>
      <c r="B110" s="26">
        <f>B23+B22+B21+B20+B19+B18+B15+B17+B16+B13+B12+B14+B11+B10</f>
        <v>189</v>
      </c>
      <c r="D110" s="17">
        <f>((B110*100)/L21)</f>
        <v>28</v>
      </c>
      <c r="E110" s="78" t="s">
        <v>101</v>
      </c>
      <c r="F110" s="79"/>
      <c r="K110" s="54"/>
      <c r="L110" s="54"/>
      <c r="M110" s="50"/>
      <c r="N110" s="54"/>
      <c r="O110" s="85"/>
      <c r="P110" s="50"/>
      <c r="Q110" s="50"/>
    </row>
    <row r="111" spans="1:17" ht="17">
      <c r="A111" s="60"/>
      <c r="B111" s="13"/>
      <c r="C111" s="13"/>
      <c r="D111" s="61"/>
      <c r="E111" s="64"/>
      <c r="F111" s="66"/>
      <c r="K111" s="54" t="s">
        <v>36</v>
      </c>
      <c r="L111" s="54">
        <v>15000</v>
      </c>
      <c r="M111" s="50">
        <v>5</v>
      </c>
      <c r="N111" s="54">
        <f t="shared" si="1"/>
        <v>3000</v>
      </c>
      <c r="O111" s="85">
        <f>((D8*M111)/L111)</f>
        <v>10.566666666666666</v>
      </c>
      <c r="P111" s="50">
        <v>0</v>
      </c>
      <c r="Q111" s="50">
        <v>0</v>
      </c>
    </row>
    <row r="112" spans="1:17">
      <c r="A112" s="116" t="s">
        <v>194</v>
      </c>
      <c r="B112" s="116"/>
      <c r="C112" s="116"/>
      <c r="D112" s="116"/>
      <c r="E112" s="13"/>
      <c r="F112" s="66"/>
      <c r="K112" s="54"/>
      <c r="L112" s="54"/>
      <c r="M112" s="50"/>
      <c r="N112" s="54"/>
      <c r="O112" s="85"/>
      <c r="P112" s="50"/>
      <c r="Q112" s="50"/>
    </row>
    <row r="113" spans="1:17" ht="18" thickBot="1">
      <c r="A113" s="14"/>
      <c r="B113" s="14"/>
      <c r="C113" s="14"/>
      <c r="D113" s="14"/>
      <c r="E113" s="60"/>
      <c r="F113" s="66"/>
      <c r="K113" s="54" t="s">
        <v>37</v>
      </c>
      <c r="L113" s="54">
        <v>20000</v>
      </c>
      <c r="M113" s="50">
        <v>4</v>
      </c>
      <c r="N113" s="54">
        <f t="shared" si="1"/>
        <v>5000</v>
      </c>
      <c r="O113" s="85">
        <f>((D8*M113)/L113)</f>
        <v>6.34</v>
      </c>
      <c r="P113" s="50">
        <v>0</v>
      </c>
      <c r="Q113" s="50">
        <v>0</v>
      </c>
    </row>
    <row r="114" spans="1:17" ht="18" thickBot="1">
      <c r="A114" s="7" t="s">
        <v>191</v>
      </c>
      <c r="B114" s="31">
        <f>1+((D96+D87+D76+D64+D45))/5</f>
        <v>0.58221155368615563</v>
      </c>
      <c r="D114" s="32">
        <f>100-(B114*100)</f>
        <v>41.778844631384437</v>
      </c>
      <c r="E114" s="78" t="s">
        <v>101</v>
      </c>
      <c r="F114" s="66"/>
      <c r="G114" s="66"/>
      <c r="K114" s="70"/>
      <c r="L114" s="70"/>
      <c r="M114" s="70"/>
      <c r="N114" s="70"/>
      <c r="O114" s="70"/>
      <c r="P114" s="54"/>
      <c r="Q114" s="54"/>
    </row>
    <row r="115" spans="1:17">
      <c r="A115" s="14"/>
      <c r="B115" s="14"/>
      <c r="C115" s="14"/>
      <c r="D115" s="14"/>
      <c r="E115" s="60"/>
      <c r="F115" s="66"/>
      <c r="G115" s="66"/>
      <c r="K115" s="114" t="s">
        <v>124</v>
      </c>
      <c r="L115" s="114"/>
      <c r="M115" s="114"/>
      <c r="N115" s="114"/>
      <c r="O115" s="114"/>
      <c r="P115" s="114"/>
      <c r="Q115" s="114"/>
    </row>
    <row r="116" spans="1:17" ht="17">
      <c r="A116" s="7" t="s">
        <v>195</v>
      </c>
      <c r="B116" s="1"/>
      <c r="D116" s="14"/>
      <c r="E116" s="60"/>
      <c r="F116" s="66"/>
      <c r="G116" s="66"/>
      <c r="K116" s="53"/>
      <c r="L116" s="53"/>
      <c r="M116" s="53"/>
      <c r="N116" s="53"/>
      <c r="O116" s="53"/>
      <c r="P116" s="53"/>
      <c r="Q116" s="53"/>
    </row>
    <row r="117" spans="1:17" ht="34">
      <c r="A117" s="5" t="s">
        <v>122</v>
      </c>
      <c r="B117" s="106">
        <v>21250</v>
      </c>
      <c r="C117" s="18" t="s">
        <v>83</v>
      </c>
      <c r="D117" s="14"/>
      <c r="E117" s="60"/>
      <c r="F117" s="66" t="str">
        <f>B121</f>
        <v>Commuters out of the neighborhood to work</v>
      </c>
      <c r="G117" s="66"/>
      <c r="K117" s="53"/>
      <c r="L117" s="53"/>
      <c r="M117" s="53"/>
      <c r="N117" s="53"/>
      <c r="O117" s="53"/>
      <c r="P117" s="53"/>
      <c r="Q117" s="53"/>
    </row>
    <row r="118" spans="1:17" ht="18" thickBot="1">
      <c r="A118" s="5" t="s">
        <v>192</v>
      </c>
      <c r="B118" s="106">
        <v>15913</v>
      </c>
      <c r="C118" s="18" t="s">
        <v>83</v>
      </c>
      <c r="D118" s="14"/>
      <c r="E118" s="60"/>
      <c r="F118" s="66" t="str">
        <f>B123</f>
        <v>Hong Kong 27000 P/km2</v>
      </c>
      <c r="G118" s="66"/>
      <c r="K118" s="70" t="s">
        <v>15</v>
      </c>
      <c r="L118" s="70" t="s">
        <v>16</v>
      </c>
      <c r="M118" s="70" t="s">
        <v>17</v>
      </c>
      <c r="N118" s="54" t="s">
        <v>18</v>
      </c>
      <c r="O118" s="50" t="s">
        <v>19</v>
      </c>
      <c r="P118" s="54" t="s">
        <v>20</v>
      </c>
      <c r="Q118" s="54" t="s">
        <v>21</v>
      </c>
    </row>
    <row r="119" spans="1:17" ht="18" thickBot="1">
      <c r="A119" s="7" t="s">
        <v>193</v>
      </c>
      <c r="B119" s="1"/>
      <c r="D119" s="32">
        <f>((B118*100)/B117)</f>
        <v>74.884705882352947</v>
      </c>
      <c r="E119" s="60" t="s">
        <v>115</v>
      </c>
      <c r="F119" s="66"/>
      <c r="K119" s="70" t="s">
        <v>23</v>
      </c>
      <c r="L119" s="54"/>
      <c r="M119" s="54"/>
      <c r="N119" s="54"/>
      <c r="O119" s="85" t="e">
        <f>((D8*M119)/L119)</f>
        <v>#DIV/0!</v>
      </c>
      <c r="P119" s="54">
        <v>1</v>
      </c>
      <c r="Q119" s="54">
        <v>1</v>
      </c>
    </row>
    <row r="120" spans="1:17" ht="18" thickBot="1">
      <c r="A120" s="14"/>
      <c r="B120" s="14"/>
      <c r="C120" s="14"/>
      <c r="D120" s="14"/>
      <c r="E120" s="60"/>
      <c r="F120" s="66">
        <v>60000</v>
      </c>
      <c r="G120" s="66" t="s">
        <v>217</v>
      </c>
      <c r="K120" s="54" t="s">
        <v>24</v>
      </c>
      <c r="L120" s="54">
        <f>(L31+L33+L28+(L30/2)+L111+L113)</f>
        <v>97000</v>
      </c>
      <c r="M120" s="54">
        <f>(M31+M33+M28+(M30/2)+M111+M113)</f>
        <v>30.5</v>
      </c>
      <c r="N120" s="54">
        <f>(N31+N33+N28+(N30/2)+N111+N113)</f>
        <v>20307.692307692309</v>
      </c>
      <c r="O120" s="85">
        <f>((D8*M120)/L120)</f>
        <v>9.9675257731958755</v>
      </c>
      <c r="P120" s="54">
        <v>1</v>
      </c>
      <c r="Q120" s="54">
        <v>1</v>
      </c>
    </row>
    <row r="121" spans="1:17" ht="34" customHeight="1" thickBot="1">
      <c r="A121" s="7" t="s">
        <v>197</v>
      </c>
      <c r="B121" s="112" t="str">
        <f>B203</f>
        <v>Commuters out of the neighborhood to work</v>
      </c>
      <c r="C121" s="113"/>
      <c r="D121" s="32">
        <f>D207</f>
        <v>60.842471892611179</v>
      </c>
      <c r="E121" s="95" t="s">
        <v>115</v>
      </c>
      <c r="F121" s="66">
        <f>B6</f>
        <v>14563</v>
      </c>
      <c r="G121" s="66" t="s">
        <v>210</v>
      </c>
      <c r="K121" s="54" t="s">
        <v>25</v>
      </c>
      <c r="L121" s="54">
        <f>(L29+(L30/2))</f>
        <v>14000</v>
      </c>
      <c r="M121" s="54">
        <f>(M29+(M30/2))</f>
        <v>13.5</v>
      </c>
      <c r="N121" s="54">
        <f>(N29+(N30/2))</f>
        <v>1736.2637362637363</v>
      </c>
      <c r="O121" s="85">
        <f>((D8*M121)/L121)</f>
        <v>30.567857142857143</v>
      </c>
      <c r="P121" s="54">
        <v>1</v>
      </c>
      <c r="Q121" s="54">
        <v>1</v>
      </c>
    </row>
    <row r="122" spans="1:17" ht="31" customHeight="1" thickBot="1">
      <c r="A122" s="14"/>
      <c r="B122" s="72"/>
      <c r="C122" s="14"/>
      <c r="D122" s="14"/>
      <c r="E122" s="60"/>
      <c r="F122" s="66">
        <f>B7</f>
        <v>17137</v>
      </c>
      <c r="G122" s="66" t="s">
        <v>211</v>
      </c>
      <c r="K122" s="54" t="s">
        <v>26</v>
      </c>
      <c r="L122" s="54">
        <f>(L113+L111)/2</f>
        <v>17500</v>
      </c>
      <c r="M122" s="54">
        <f>(M113+M111)</f>
        <v>9</v>
      </c>
      <c r="N122" s="54">
        <f>(N113+N111)/2</f>
        <v>4000</v>
      </c>
      <c r="O122" s="85">
        <f>((D8*M122)/L122)</f>
        <v>16.302857142857142</v>
      </c>
      <c r="P122" s="54">
        <v>1</v>
      </c>
      <c r="Q122" s="54">
        <v>1</v>
      </c>
    </row>
    <row r="123" spans="1:17" ht="18" thickBot="1">
      <c r="A123" s="7" t="s">
        <v>196</v>
      </c>
      <c r="B123" s="112" t="str">
        <f>B209</f>
        <v>Hong Kong 27000 P/km2</v>
      </c>
      <c r="C123" s="113"/>
      <c r="D123" s="32">
        <f>D217</f>
        <v>70.514998543383896</v>
      </c>
      <c r="E123" s="95" t="s">
        <v>115</v>
      </c>
      <c r="F123" s="66">
        <f>F122-F121</f>
        <v>2574</v>
      </c>
      <c r="G123" s="66" t="s">
        <v>213</v>
      </c>
      <c r="K123" s="54" t="s">
        <v>27</v>
      </c>
      <c r="L123" s="54">
        <v>20000</v>
      </c>
      <c r="M123" s="54">
        <v>6</v>
      </c>
      <c r="N123" s="54">
        <f>L123/M123</f>
        <v>3333.3333333333335</v>
      </c>
      <c r="O123" s="85">
        <f>((D8*M123)/L123)</f>
        <v>9.51</v>
      </c>
      <c r="P123" s="54">
        <v>0</v>
      </c>
      <c r="Q123" s="54">
        <v>0</v>
      </c>
    </row>
    <row r="124" spans="1:17" ht="27" customHeight="1" thickBot="1">
      <c r="A124" s="14"/>
      <c r="B124" s="72"/>
      <c r="C124" s="14"/>
      <c r="D124" s="14"/>
      <c r="E124" s="60"/>
      <c r="F124" s="82">
        <f>D8</f>
        <v>31700</v>
      </c>
      <c r="G124" s="66" t="s">
        <v>212</v>
      </c>
      <c r="K124" s="54" t="s">
        <v>11</v>
      </c>
      <c r="L124" s="54">
        <v>20000</v>
      </c>
      <c r="M124" s="54">
        <v>6</v>
      </c>
      <c r="N124" s="54">
        <f>L124/M124</f>
        <v>3333.3333333333335</v>
      </c>
      <c r="O124" s="85">
        <f>((D8*M124)/L124)</f>
        <v>9.51</v>
      </c>
      <c r="P124" s="54">
        <v>0</v>
      </c>
      <c r="Q124" s="54">
        <v>0</v>
      </c>
    </row>
    <row r="125" spans="1:17" ht="38" customHeight="1" thickBot="1">
      <c r="A125" s="7" t="s">
        <v>237</v>
      </c>
      <c r="B125" s="110"/>
      <c r="C125" s="14"/>
      <c r="D125" s="32">
        <f>D243</f>
        <v>61.612224504235719</v>
      </c>
      <c r="E125" s="95" t="s">
        <v>115</v>
      </c>
      <c r="F125" s="90" t="s">
        <v>214</v>
      </c>
      <c r="G125" s="66"/>
      <c r="K125" s="54" t="s">
        <v>28</v>
      </c>
      <c r="L125" s="50">
        <f>L113+L111+L33+L32+L31+L30+L29+L28</f>
        <v>131000</v>
      </c>
      <c r="M125" s="50">
        <f>M113+M111+M33+M32+M31+M30+M29+M28+M124+M123</f>
        <v>61</v>
      </c>
      <c r="N125" s="50">
        <f>N113+N111+N33+N32+N31+N30+N29+N28</f>
        <v>26043.956043956045</v>
      </c>
      <c r="O125" s="85">
        <f>((D8*M125)/L125)</f>
        <v>14.761068702290077</v>
      </c>
      <c r="P125" s="54">
        <v>0</v>
      </c>
      <c r="Q125" s="54">
        <v>0</v>
      </c>
    </row>
    <row r="126" spans="1:17" ht="35" thickBot="1">
      <c r="A126" s="14"/>
      <c r="B126" s="72"/>
      <c r="C126" s="14"/>
      <c r="D126" s="14"/>
      <c r="E126" s="60"/>
      <c r="F126" s="90" t="s">
        <v>215</v>
      </c>
      <c r="G126" s="66"/>
      <c r="K126" s="53"/>
      <c r="L126" s="53"/>
      <c r="M126" s="53"/>
      <c r="N126" s="53"/>
      <c r="O126" s="53"/>
      <c r="P126" s="53"/>
      <c r="Q126" s="53"/>
    </row>
    <row r="127" spans="1:17" ht="35" thickBot="1">
      <c r="A127" s="7" t="s">
        <v>199</v>
      </c>
      <c r="B127" s="110"/>
      <c r="C127" s="14"/>
      <c r="D127" s="32">
        <f>D263</f>
        <v>47.328604222093205</v>
      </c>
      <c r="E127" s="95" t="s">
        <v>115</v>
      </c>
      <c r="F127" s="66" t="s">
        <v>216</v>
      </c>
      <c r="G127" s="66"/>
      <c r="K127" s="53"/>
      <c r="L127" s="53"/>
      <c r="M127" s="53"/>
      <c r="N127" s="53"/>
      <c r="O127" s="53"/>
      <c r="P127" s="53"/>
      <c r="Q127" s="53"/>
    </row>
    <row r="128" spans="1:17" ht="49" customHeight="1" thickBot="1">
      <c r="A128" s="65"/>
      <c r="B128" s="81"/>
      <c r="C128" s="65"/>
      <c r="D128" s="65"/>
      <c r="E128" s="60"/>
      <c r="F128" s="66" t="s">
        <v>219</v>
      </c>
      <c r="G128" s="66" t="s">
        <v>218</v>
      </c>
      <c r="K128" s="114" t="s">
        <v>125</v>
      </c>
      <c r="L128" s="114"/>
      <c r="M128" s="114"/>
      <c r="N128" s="114"/>
      <c r="O128" s="114"/>
      <c r="P128" s="114"/>
      <c r="Q128" s="114"/>
    </row>
    <row r="129" spans="1:17" ht="18" thickBot="1">
      <c r="A129" s="7" t="s">
        <v>198</v>
      </c>
      <c r="B129" s="110"/>
      <c r="C129" s="14"/>
      <c r="D129" s="32">
        <f>D280</f>
        <v>61.397095762320234</v>
      </c>
      <c r="E129" s="62" t="s">
        <v>115</v>
      </c>
      <c r="F129" s="66" t="s">
        <v>220</v>
      </c>
      <c r="G129" s="66"/>
      <c r="K129" s="70"/>
      <c r="L129" s="70" t="s">
        <v>126</v>
      </c>
      <c r="M129" s="70" t="s">
        <v>17</v>
      </c>
      <c r="N129" s="54" t="s">
        <v>18</v>
      </c>
      <c r="O129" s="50" t="s">
        <v>19</v>
      </c>
      <c r="P129" s="54" t="s">
        <v>123</v>
      </c>
      <c r="Q129" s="54" t="s">
        <v>127</v>
      </c>
    </row>
    <row r="130" spans="1:17" ht="17">
      <c r="A130" s="60"/>
      <c r="B130" s="60"/>
      <c r="C130" s="14"/>
      <c r="D130" s="61"/>
      <c r="F130" s="66" t="s">
        <v>221</v>
      </c>
      <c r="G130" s="66"/>
      <c r="K130" s="70" t="s">
        <v>68</v>
      </c>
      <c r="L130" s="54">
        <v>50000</v>
      </c>
      <c r="M130" s="54">
        <v>1</v>
      </c>
      <c r="N130" s="54">
        <v>0</v>
      </c>
      <c r="O130" s="85">
        <f>((D8*M130)/L130)</f>
        <v>0.63400000000000001</v>
      </c>
      <c r="P130" s="54">
        <v>0</v>
      </c>
      <c r="Q130" s="54">
        <v>0</v>
      </c>
    </row>
    <row r="131" spans="1:17" ht="17">
      <c r="A131" s="60"/>
      <c r="B131" s="60"/>
      <c r="C131" s="14"/>
      <c r="D131" s="61"/>
      <c r="F131" s="66" t="s">
        <v>223</v>
      </c>
      <c r="K131" s="70" t="s">
        <v>128</v>
      </c>
      <c r="L131" s="54">
        <v>32498</v>
      </c>
      <c r="M131" s="54">
        <v>1</v>
      </c>
      <c r="N131" s="54">
        <v>0</v>
      </c>
      <c r="O131" s="85">
        <f>((D8*M131)/L131)</f>
        <v>0.97544464274724596</v>
      </c>
      <c r="P131" s="54">
        <v>0</v>
      </c>
      <c r="Q131" s="54">
        <v>0</v>
      </c>
    </row>
    <row r="132" spans="1:17" ht="17">
      <c r="A132" s="60"/>
      <c r="B132" s="60"/>
      <c r="C132" s="14"/>
      <c r="D132" s="61"/>
      <c r="F132" s="66" t="s">
        <v>222</v>
      </c>
      <c r="K132" s="70" t="s">
        <v>49</v>
      </c>
      <c r="L132" s="54">
        <v>9497</v>
      </c>
      <c r="M132" s="54">
        <v>1</v>
      </c>
      <c r="N132" s="54">
        <v>0</v>
      </c>
      <c r="O132" s="85">
        <f>((D8*M132)/L132)</f>
        <v>3.3378961777403391</v>
      </c>
      <c r="P132" s="54">
        <v>0</v>
      </c>
      <c r="Q132" s="54">
        <v>0</v>
      </c>
    </row>
    <row r="133" spans="1:17" ht="17">
      <c r="A133" s="60"/>
      <c r="B133" s="60"/>
      <c r="C133" s="14"/>
      <c r="D133" s="61"/>
      <c r="F133" s="66" t="s">
        <v>224</v>
      </c>
      <c r="K133" s="70" t="s">
        <v>129</v>
      </c>
      <c r="L133" s="54">
        <v>8484</v>
      </c>
      <c r="M133" s="54">
        <v>1</v>
      </c>
      <c r="N133" s="54">
        <v>0</v>
      </c>
      <c r="O133" s="85">
        <f>((D8*M133)/L133)</f>
        <v>3.7364450730787366</v>
      </c>
      <c r="P133" s="54">
        <v>0</v>
      </c>
      <c r="Q133" s="54">
        <v>0</v>
      </c>
    </row>
    <row r="134" spans="1:17" ht="17">
      <c r="A134" s="60"/>
      <c r="B134" s="60"/>
      <c r="C134" s="14"/>
      <c r="D134" s="61"/>
      <c r="F134" s="66" t="s">
        <v>225</v>
      </c>
      <c r="K134" s="70" t="s">
        <v>130</v>
      </c>
      <c r="L134" s="54">
        <v>10253</v>
      </c>
      <c r="M134" s="54">
        <v>1</v>
      </c>
      <c r="N134" s="54">
        <v>0</v>
      </c>
      <c r="O134" s="85">
        <f>((D8*M134)/L134)</f>
        <v>3.0917780161903834</v>
      </c>
      <c r="P134" s="54">
        <v>0</v>
      </c>
      <c r="Q134" s="54">
        <v>0</v>
      </c>
    </row>
    <row r="135" spans="1:17" ht="17">
      <c r="A135" s="60"/>
      <c r="B135" s="60"/>
      <c r="C135" s="14"/>
      <c r="D135" s="61"/>
      <c r="F135" s="66" t="s">
        <v>226</v>
      </c>
      <c r="K135" s="70" t="s">
        <v>131</v>
      </c>
      <c r="L135" s="54">
        <v>6835</v>
      </c>
      <c r="M135" s="54">
        <v>1</v>
      </c>
      <c r="N135" s="54">
        <v>0</v>
      </c>
      <c r="O135" s="85">
        <f>((D8*M135)/L135)</f>
        <v>4.6378931967812731</v>
      </c>
      <c r="P135" s="54">
        <v>0</v>
      </c>
      <c r="Q135" s="54">
        <v>0</v>
      </c>
    </row>
    <row r="136" spans="1:17" ht="17">
      <c r="A136" s="60"/>
      <c r="B136" s="60"/>
      <c r="C136" s="14"/>
      <c r="D136" s="61"/>
      <c r="F136" s="66"/>
      <c r="K136" s="70" t="s">
        <v>132</v>
      </c>
      <c r="L136" s="54">
        <v>3086</v>
      </c>
      <c r="M136" s="54">
        <v>1</v>
      </c>
      <c r="N136" s="54">
        <v>0</v>
      </c>
      <c r="O136" s="85">
        <f>((D8*M136)/L136)</f>
        <v>10.272197018794555</v>
      </c>
      <c r="P136" s="54">
        <v>0</v>
      </c>
      <c r="Q136" s="54">
        <v>0</v>
      </c>
    </row>
    <row r="137" spans="1:17">
      <c r="A137" s="60"/>
      <c r="B137" s="60"/>
      <c r="C137" s="14"/>
      <c r="D137" s="61"/>
      <c r="F137" s="91" t="s">
        <v>200</v>
      </c>
    </row>
    <row r="138" spans="1:17">
      <c r="A138" s="60"/>
      <c r="B138" s="60"/>
      <c r="C138" s="14"/>
      <c r="D138" s="61"/>
      <c r="F138" s="91" t="s">
        <v>201</v>
      </c>
    </row>
    <row r="139" spans="1:17">
      <c r="A139" s="60"/>
      <c r="B139" s="60"/>
      <c r="C139" s="14"/>
      <c r="D139" s="61"/>
      <c r="F139" s="91" t="s">
        <v>202</v>
      </c>
    </row>
    <row r="140" spans="1:17">
      <c r="A140" s="60"/>
      <c r="B140" s="60"/>
      <c r="C140" s="14"/>
      <c r="D140" s="61"/>
      <c r="F140" s="91" t="s">
        <v>203</v>
      </c>
    </row>
    <row r="141" spans="1:17" ht="17">
      <c r="A141" s="60"/>
      <c r="B141" s="60"/>
      <c r="C141" s="14"/>
      <c r="D141" s="61"/>
      <c r="F141" s="66" t="s">
        <v>204</v>
      </c>
    </row>
    <row r="142" spans="1:17" ht="17">
      <c r="A142" s="60"/>
      <c r="B142" s="60"/>
      <c r="C142" s="14"/>
      <c r="D142" s="61"/>
      <c r="F142" s="66" t="s">
        <v>205</v>
      </c>
    </row>
    <row r="143" spans="1:17" ht="17">
      <c r="A143" s="60"/>
      <c r="B143" s="60"/>
      <c r="C143" s="14"/>
      <c r="D143" s="61"/>
      <c r="F143" s="66" t="s">
        <v>206</v>
      </c>
    </row>
    <row r="144" spans="1:17" ht="17">
      <c r="A144" s="60"/>
      <c r="B144" s="60"/>
      <c r="C144" s="14"/>
      <c r="D144" s="61"/>
      <c r="F144" s="66" t="s">
        <v>207</v>
      </c>
    </row>
    <row r="145" spans="1:7" ht="17">
      <c r="A145" s="60"/>
      <c r="B145" s="60"/>
      <c r="C145" s="14"/>
      <c r="D145" s="61"/>
      <c r="F145" s="66" t="s">
        <v>208</v>
      </c>
    </row>
    <row r="146" spans="1:7">
      <c r="A146" s="60"/>
      <c r="B146" s="60"/>
      <c r="C146" s="14"/>
      <c r="D146" s="61"/>
      <c r="F146" s="66"/>
    </row>
    <row r="147" spans="1:7">
      <c r="A147" s="60"/>
      <c r="B147" s="60"/>
      <c r="C147" s="14"/>
      <c r="D147" s="61"/>
      <c r="F147" s="66"/>
    </row>
    <row r="148" spans="1:7">
      <c r="A148" s="60"/>
      <c r="B148" s="60"/>
      <c r="C148" s="14"/>
      <c r="D148" s="61"/>
      <c r="F148" s="52">
        <f>Radar1!C3</f>
        <v>75.007551663034008</v>
      </c>
      <c r="G148" s="66"/>
    </row>
    <row r="149" spans="1:7">
      <c r="A149" s="60"/>
      <c r="B149" s="60"/>
      <c r="C149" s="14"/>
      <c r="D149" s="61"/>
      <c r="F149" s="52">
        <f>Radar1!C4</f>
        <v>88.353458274353756</v>
      </c>
      <c r="G149" s="66"/>
    </row>
    <row r="150" spans="1:7">
      <c r="A150" s="60"/>
      <c r="B150" s="60"/>
      <c r="C150" s="14"/>
      <c r="D150" s="61"/>
      <c r="F150" s="52">
        <f>Radar1!C5</f>
        <v>98.830308806264824</v>
      </c>
      <c r="G150" s="66"/>
    </row>
    <row r="151" spans="1:7">
      <c r="A151" s="60"/>
      <c r="B151" s="60"/>
      <c r="C151" s="14"/>
      <c r="D151" s="61"/>
      <c r="F151" s="52">
        <f>Radar1!C6</f>
        <v>37.607357951663289</v>
      </c>
      <c r="G151" s="66"/>
    </row>
    <row r="152" spans="1:7">
      <c r="A152" s="60"/>
      <c r="B152" s="60"/>
      <c r="C152" s="14"/>
      <c r="D152" s="61"/>
      <c r="F152" s="52">
        <f>Radar1!C7</f>
        <v>94.335822901430035</v>
      </c>
      <c r="G152" s="66"/>
    </row>
    <row r="153" spans="1:7">
      <c r="A153" s="60"/>
      <c r="B153" s="60"/>
      <c r="C153" s="14"/>
      <c r="D153" s="61"/>
      <c r="F153" s="52">
        <f>Radar1!C8</f>
        <v>44.716941030416166</v>
      </c>
      <c r="G153" s="66"/>
    </row>
    <row r="154" spans="1:7">
      <c r="A154" s="60"/>
      <c r="B154" s="60"/>
      <c r="C154" s="14"/>
      <c r="D154" s="61"/>
      <c r="F154" s="52">
        <f>Radar1!C9</f>
        <v>99.073856136638994</v>
      </c>
      <c r="G154" s="66"/>
    </row>
    <row r="155" spans="1:7">
      <c r="A155" s="60"/>
      <c r="B155" s="60"/>
      <c r="C155" s="14"/>
      <c r="D155" s="61"/>
      <c r="F155" s="52">
        <f>Radar1!C10</f>
        <v>99.360468520561568</v>
      </c>
      <c r="G155" s="66"/>
    </row>
    <row r="156" spans="1:7">
      <c r="A156" s="60"/>
      <c r="B156" s="60"/>
      <c r="C156" s="14"/>
      <c r="D156" s="61"/>
      <c r="F156" s="52">
        <f>Radar1!C11</f>
        <v>69.899977739985829</v>
      </c>
      <c r="G156" s="66"/>
    </row>
    <row r="157" spans="1:7">
      <c r="A157" s="60"/>
      <c r="B157" s="60"/>
      <c r="C157" s="14"/>
      <c r="D157" s="61"/>
      <c r="F157" s="52">
        <f>Radar1!C12</f>
        <v>20.747311754882428</v>
      </c>
      <c r="G157" s="66"/>
    </row>
    <row r="158" spans="1:7">
      <c r="A158" s="60"/>
      <c r="B158" s="60"/>
      <c r="C158" s="14"/>
      <c r="D158" s="61"/>
      <c r="F158" s="52">
        <f>Radar1!C13</f>
        <v>9.9442609197852168</v>
      </c>
      <c r="G158" s="66"/>
    </row>
    <row r="159" spans="1:7">
      <c r="A159" s="60"/>
      <c r="B159" s="60"/>
      <c r="C159" s="14"/>
      <c r="D159" s="61"/>
      <c r="F159" s="52">
        <f>Radar1!C14</f>
        <v>7.607091106750878</v>
      </c>
      <c r="G159" s="66"/>
    </row>
    <row r="160" spans="1:7">
      <c r="A160" s="60"/>
      <c r="B160" s="60"/>
      <c r="C160" s="14"/>
      <c r="D160" s="61"/>
      <c r="F160" s="52">
        <f>Radar1!C15</f>
        <v>73.175697385346396</v>
      </c>
      <c r="G160" s="66"/>
    </row>
    <row r="161" spans="1:7">
      <c r="A161" s="60"/>
      <c r="B161" s="60"/>
      <c r="C161" s="14"/>
      <c r="D161" s="61"/>
      <c r="F161" s="52">
        <f>Radar1!C16</f>
        <v>86.304302744458383</v>
      </c>
      <c r="G161" s="66"/>
    </row>
    <row r="162" spans="1:7">
      <c r="A162" s="60"/>
      <c r="B162" s="60"/>
      <c r="C162" s="14"/>
      <c r="D162" s="61"/>
      <c r="F162" s="52">
        <f>Radar1!C17</f>
        <v>1.7573011172985642</v>
      </c>
      <c r="G162" s="66"/>
    </row>
    <row r="163" spans="1:7">
      <c r="A163" s="60"/>
      <c r="B163" s="60"/>
      <c r="C163" s="14"/>
      <c r="D163" s="61"/>
      <c r="F163" s="52">
        <f>Radar1!C18</f>
        <v>57.642386544801248</v>
      </c>
      <c r="G163" s="66"/>
    </row>
    <row r="164" spans="1:7" ht="19" customHeight="1">
      <c r="A164" s="60"/>
      <c r="B164" s="60"/>
      <c r="C164" s="14"/>
      <c r="D164" s="61"/>
      <c r="F164" s="52">
        <f>Radar1!C19</f>
        <v>60.050307378492121</v>
      </c>
      <c r="G164" s="66"/>
    </row>
    <row r="165" spans="1:7">
      <c r="A165" s="60"/>
      <c r="B165" s="60"/>
      <c r="C165" s="14"/>
      <c r="D165" s="61"/>
      <c r="F165" s="52">
        <f>Radar1!C20</f>
        <v>98.653263593089733</v>
      </c>
      <c r="G165" s="66"/>
    </row>
    <row r="166" spans="1:7">
      <c r="A166" s="60"/>
      <c r="B166" s="60"/>
      <c r="C166" s="14"/>
      <c r="D166" s="61"/>
      <c r="F166" s="52">
        <f>Radar1!C21</f>
        <v>32.564518919534535</v>
      </c>
      <c r="G166" s="66"/>
    </row>
    <row r="167" spans="1:7">
      <c r="A167" s="60"/>
      <c r="B167" s="60"/>
      <c r="C167" s="14"/>
      <c r="D167" s="61"/>
      <c r="F167" s="52">
        <f>Radar1!C22</f>
        <v>31.956628421432686</v>
      </c>
      <c r="G167" s="66"/>
    </row>
    <row r="168" spans="1:7">
      <c r="A168" s="60"/>
      <c r="B168" s="60"/>
      <c r="C168" s="14"/>
      <c r="D168" s="61"/>
      <c r="F168" s="52">
        <f>Radar1!C23</f>
        <v>76</v>
      </c>
      <c r="G168" s="66"/>
    </row>
    <row r="169" spans="1:7">
      <c r="A169" s="60"/>
      <c r="B169" s="60"/>
      <c r="C169" s="14"/>
      <c r="D169" s="61"/>
      <c r="F169" s="66"/>
    </row>
    <row r="170" spans="1:7">
      <c r="A170" s="60"/>
      <c r="B170" s="60"/>
      <c r="C170" s="14"/>
      <c r="D170" s="61"/>
      <c r="F170" s="66"/>
    </row>
    <row r="171" spans="1:7">
      <c r="A171" s="60"/>
      <c r="B171" s="60"/>
      <c r="C171" s="14"/>
      <c r="D171" s="61"/>
      <c r="F171" s="66"/>
      <c r="G171" s="66"/>
    </row>
    <row r="172" spans="1:7">
      <c r="A172" s="60"/>
      <c r="B172" s="60"/>
      <c r="C172" s="14"/>
      <c r="D172" s="61"/>
      <c r="F172" s="66"/>
      <c r="G172" s="66"/>
    </row>
    <row r="173" spans="1:7">
      <c r="A173" s="60"/>
      <c r="B173" s="60"/>
      <c r="C173" s="14"/>
      <c r="D173" s="61"/>
      <c r="F173" s="66"/>
      <c r="G173" s="66"/>
    </row>
    <row r="174" spans="1:7">
      <c r="A174" s="60"/>
      <c r="B174" s="60"/>
      <c r="C174" s="14"/>
      <c r="D174" s="61"/>
      <c r="F174" s="66"/>
      <c r="G174" s="66"/>
    </row>
    <row r="175" spans="1:7">
      <c r="A175" s="60"/>
      <c r="B175" s="60"/>
      <c r="C175" s="14"/>
      <c r="D175" s="61"/>
      <c r="F175" s="66"/>
    </row>
    <row r="176" spans="1:7">
      <c r="A176" s="60"/>
      <c r="B176" s="60"/>
      <c r="C176" s="14"/>
      <c r="D176" s="61"/>
      <c r="F176" s="66"/>
    </row>
    <row r="177" spans="1:6">
      <c r="A177" s="60"/>
      <c r="B177" s="60"/>
      <c r="C177" s="14"/>
      <c r="D177" s="61"/>
      <c r="F177" s="66"/>
    </row>
    <row r="178" spans="1:6">
      <c r="A178" s="60"/>
      <c r="B178" s="60"/>
      <c r="C178" s="14"/>
      <c r="D178" s="61"/>
      <c r="F178" s="66"/>
    </row>
    <row r="179" spans="1:6">
      <c r="A179" s="60"/>
      <c r="B179" s="60"/>
      <c r="C179" s="14"/>
      <c r="D179" s="61"/>
      <c r="F179" s="66"/>
    </row>
    <row r="180" spans="1:6">
      <c r="A180" s="60"/>
      <c r="B180" s="60"/>
      <c r="C180" s="14"/>
      <c r="D180" s="61"/>
      <c r="F180" s="66"/>
    </row>
    <row r="181" spans="1:6">
      <c r="A181" s="60"/>
      <c r="B181" s="60"/>
      <c r="C181" s="14"/>
      <c r="D181" s="61"/>
      <c r="F181" s="66"/>
    </row>
    <row r="182" spans="1:6">
      <c r="A182" s="60"/>
      <c r="B182" s="60"/>
      <c r="C182" s="14"/>
      <c r="D182" s="61"/>
      <c r="F182" s="66"/>
    </row>
    <row r="183" spans="1:6">
      <c r="A183" s="60"/>
      <c r="B183" s="60"/>
      <c r="C183" s="14"/>
      <c r="D183" s="61"/>
      <c r="F183" s="66"/>
    </row>
    <row r="184" spans="1:6">
      <c r="A184" s="60"/>
      <c r="B184" s="60"/>
      <c r="C184" s="14"/>
      <c r="D184" s="61"/>
      <c r="F184" s="66"/>
    </row>
    <row r="185" spans="1:6">
      <c r="A185" s="60"/>
      <c r="B185" s="60"/>
      <c r="C185" s="14"/>
      <c r="D185" s="61"/>
    </row>
    <row r="186" spans="1:6">
      <c r="A186" s="60"/>
      <c r="B186" s="60"/>
      <c r="C186" s="14"/>
      <c r="D186" s="61"/>
    </row>
    <row r="187" spans="1:6">
      <c r="A187" s="60"/>
      <c r="B187" s="60"/>
      <c r="C187" s="14"/>
      <c r="D187" s="61"/>
    </row>
    <row r="188" spans="1:6">
      <c r="A188" s="60"/>
      <c r="B188" s="60"/>
      <c r="C188" s="14"/>
      <c r="D188" s="61"/>
    </row>
    <row r="189" spans="1:6">
      <c r="A189" s="60"/>
      <c r="B189" s="60"/>
      <c r="C189" s="14"/>
      <c r="D189" s="61"/>
    </row>
    <row r="190" spans="1:6">
      <c r="A190" s="60"/>
      <c r="B190" s="60"/>
      <c r="C190" s="14"/>
      <c r="D190" s="61"/>
    </row>
    <row r="191" spans="1:6">
      <c r="A191" s="60"/>
      <c r="B191" s="60"/>
      <c r="C191" s="14"/>
      <c r="D191" s="61"/>
    </row>
    <row r="192" spans="1:6">
      <c r="A192" s="60"/>
      <c r="B192" s="60"/>
      <c r="C192" s="14"/>
      <c r="D192" s="61"/>
    </row>
    <row r="193" spans="1:5">
      <c r="A193" s="60"/>
      <c r="B193" s="60"/>
      <c r="C193" s="14"/>
      <c r="D193" s="61"/>
    </row>
    <row r="194" spans="1:5">
      <c r="A194" s="60"/>
      <c r="B194" s="60"/>
      <c r="C194" s="14"/>
      <c r="D194" s="61"/>
    </row>
    <row r="195" spans="1:5">
      <c r="A195" s="60"/>
      <c r="B195" s="60"/>
      <c r="C195" s="14"/>
      <c r="D195" s="61"/>
    </row>
    <row r="196" spans="1:5">
      <c r="A196" s="60"/>
      <c r="B196" s="60"/>
      <c r="C196" s="14"/>
      <c r="D196" s="61"/>
    </row>
    <row r="197" spans="1:5">
      <c r="A197" s="60"/>
      <c r="B197" s="60"/>
      <c r="C197" s="14"/>
      <c r="D197" s="61"/>
    </row>
    <row r="198" spans="1:5">
      <c r="A198" s="66"/>
      <c r="B198" s="66"/>
      <c r="C198" s="66"/>
      <c r="D198" s="68"/>
      <c r="E198" s="66"/>
    </row>
    <row r="199" spans="1:5">
      <c r="A199" s="66"/>
      <c r="B199" s="66"/>
      <c r="C199" s="66"/>
      <c r="D199" s="68"/>
      <c r="E199" s="66"/>
    </row>
    <row r="200" spans="1:5">
      <c r="A200" s="66"/>
      <c r="B200" s="66"/>
      <c r="C200" s="66"/>
      <c r="D200" s="68"/>
      <c r="E200" s="66"/>
    </row>
    <row r="201" spans="1:5">
      <c r="A201" s="66"/>
      <c r="B201" s="66"/>
      <c r="C201" s="66"/>
      <c r="D201" s="68"/>
      <c r="E201" s="66"/>
    </row>
    <row r="202" spans="1:5">
      <c r="A202" s="66"/>
      <c r="B202" s="66"/>
      <c r="C202" s="66"/>
      <c r="D202" s="68"/>
      <c r="E202" s="66"/>
    </row>
    <row r="203" spans="1:5" ht="17">
      <c r="A203" s="50" t="s">
        <v>197</v>
      </c>
      <c r="B203" s="111" t="str">
        <f>IF(F123&lt;0,F125,IF(F123&gt;0,F126,F127))</f>
        <v>Commuters out of the neighborhood to work</v>
      </c>
      <c r="C203" s="111"/>
      <c r="D203" s="66"/>
      <c r="E203" s="66"/>
    </row>
    <row r="204" spans="1:5" ht="17">
      <c r="A204" s="50" t="s">
        <v>209</v>
      </c>
      <c r="B204" s="66"/>
      <c r="C204" s="66"/>
      <c r="D204" s="69">
        <f>(100-(F123*100)/F124)</f>
        <v>91.880126182965299</v>
      </c>
      <c r="E204" s="70" t="s">
        <v>115</v>
      </c>
    </row>
    <row r="205" spans="1:5" ht="17">
      <c r="A205" s="54" t="s">
        <v>48</v>
      </c>
      <c r="B205" s="66"/>
      <c r="C205" s="66"/>
      <c r="D205" s="69">
        <f>F156</f>
        <v>69.899977739985829</v>
      </c>
      <c r="E205" s="70" t="s">
        <v>115</v>
      </c>
    </row>
    <row r="206" spans="1:5" ht="17">
      <c r="A206" s="54" t="s">
        <v>49</v>
      </c>
      <c r="B206" s="66"/>
      <c r="C206" s="66"/>
      <c r="D206" s="69">
        <f>F157</f>
        <v>20.747311754882428</v>
      </c>
      <c r="E206" s="70" t="s">
        <v>115</v>
      </c>
    </row>
    <row r="207" spans="1:5" ht="17">
      <c r="A207" s="50" t="s">
        <v>230</v>
      </c>
      <c r="B207" s="66"/>
      <c r="C207" s="66"/>
      <c r="D207" s="71">
        <f>(D204+D205+D206)/3</f>
        <v>60.842471892611179</v>
      </c>
      <c r="E207" s="70" t="s">
        <v>115</v>
      </c>
    </row>
    <row r="208" spans="1:5">
      <c r="A208" s="66"/>
      <c r="B208" s="66"/>
      <c r="C208" s="66"/>
      <c r="D208" s="66"/>
      <c r="E208" s="66"/>
    </row>
    <row r="209" spans="1:5" ht="17">
      <c r="A209" s="50" t="s">
        <v>196</v>
      </c>
      <c r="B209" s="111" t="str">
        <f>IF(F124&lt;1999,F135,IF(F124&lt;3000,F134,IF(F124&lt;5000,F133,IF(F124&lt;10000,F132,IF(F124&lt;14000,F131,IF(F124&lt;27000,F130,IF(F124&lt;56000,F129,IF(F124&lt;60000,F128,))))))))</f>
        <v>Hong Kong 27000 P/km2</v>
      </c>
      <c r="C209" s="111"/>
      <c r="D209" s="66"/>
      <c r="E209" s="66"/>
    </row>
    <row r="210" spans="1:5" ht="34">
      <c r="A210" s="50" t="s">
        <v>228</v>
      </c>
      <c r="B210" s="66"/>
      <c r="C210" s="66"/>
      <c r="D210" s="69">
        <f>(100-(F123*100)/F124)</f>
        <v>91.880126182965299</v>
      </c>
      <c r="E210" s="70" t="s">
        <v>115</v>
      </c>
    </row>
    <row r="211" spans="1:5" ht="17">
      <c r="A211" s="54" t="s">
        <v>227</v>
      </c>
      <c r="B211" s="66"/>
      <c r="C211" s="66"/>
      <c r="D211" s="69">
        <f>(200*F124)/F120</f>
        <v>105.66666666666667</v>
      </c>
      <c r="E211" s="70" t="s">
        <v>115</v>
      </c>
    </row>
    <row r="212" spans="1:5" ht="17">
      <c r="A212" s="54" t="s">
        <v>231</v>
      </c>
      <c r="B212" s="66"/>
      <c r="C212" s="66"/>
      <c r="D212" s="69">
        <f>F148</f>
        <v>75.007551663034008</v>
      </c>
      <c r="E212" s="70" t="s">
        <v>115</v>
      </c>
    </row>
    <row r="213" spans="1:5" ht="17">
      <c r="A213" s="54" t="s">
        <v>232</v>
      </c>
      <c r="B213" s="66"/>
      <c r="C213" s="66"/>
      <c r="D213" s="69">
        <f>F149</f>
        <v>88.353458274353756</v>
      </c>
      <c r="E213" s="70" t="s">
        <v>115</v>
      </c>
    </row>
    <row r="214" spans="1:5" ht="17">
      <c r="A214" s="54" t="s">
        <v>233</v>
      </c>
      <c r="B214" s="66"/>
      <c r="C214" s="66"/>
      <c r="D214" s="69">
        <f>(F150-100)</f>
        <v>-1.1696911937351757</v>
      </c>
      <c r="E214" s="70" t="s">
        <v>115</v>
      </c>
    </row>
    <row r="215" spans="1:5" ht="17">
      <c r="A215" s="54" t="s">
        <v>234</v>
      </c>
      <c r="B215" s="66"/>
      <c r="C215" s="66"/>
      <c r="D215" s="69">
        <f>(F151-100)</f>
        <v>-62.392642048336711</v>
      </c>
      <c r="E215" s="70" t="s">
        <v>115</v>
      </c>
    </row>
    <row r="216" spans="1:5" ht="17">
      <c r="A216" s="54" t="s">
        <v>235</v>
      </c>
      <c r="B216" s="66"/>
      <c r="C216" s="66"/>
      <c r="D216" s="69">
        <f>(F153*200)/100</f>
        <v>89.433882060832332</v>
      </c>
      <c r="E216" s="70" t="s">
        <v>115</v>
      </c>
    </row>
    <row r="217" spans="1:5" ht="17">
      <c r="A217" s="50" t="s">
        <v>229</v>
      </c>
      <c r="B217" s="66"/>
      <c r="C217" s="66"/>
      <c r="D217" s="71">
        <f>((D211+D212+D213+D214+D215+D216)/6+D210)/2</f>
        <v>70.514998543383896</v>
      </c>
      <c r="E217" s="70" t="s">
        <v>115</v>
      </c>
    </row>
    <row r="218" spans="1:5">
      <c r="A218" s="66"/>
      <c r="B218" s="66"/>
      <c r="C218" s="66"/>
      <c r="D218" s="66"/>
      <c r="E218" s="66"/>
    </row>
    <row r="219" spans="1:5">
      <c r="A219" s="66"/>
      <c r="B219" s="66"/>
      <c r="C219" s="66"/>
      <c r="D219" s="66"/>
      <c r="E219" s="66"/>
    </row>
    <row r="220" spans="1:5" ht="17">
      <c r="A220" s="50" t="s">
        <v>237</v>
      </c>
      <c r="B220" s="66"/>
      <c r="C220" s="66"/>
      <c r="D220" s="66"/>
      <c r="E220" s="66"/>
    </row>
    <row r="221" spans="1:5" ht="34">
      <c r="A221" s="50" t="s">
        <v>228</v>
      </c>
      <c r="B221" s="66"/>
      <c r="C221" s="66"/>
      <c r="D221" s="69">
        <f>100-((F123*100)/F124)</f>
        <v>91.880126182965299</v>
      </c>
      <c r="E221" s="70" t="s">
        <v>115</v>
      </c>
    </row>
    <row r="222" spans="1:5" ht="17">
      <c r="A222" s="54" t="s">
        <v>22</v>
      </c>
      <c r="B222" s="52"/>
      <c r="C222" s="66"/>
      <c r="D222" s="69">
        <f t="shared" ref="D222:D242" si="6">F148</f>
        <v>75.007551663034008</v>
      </c>
      <c r="E222" s="70" t="s">
        <v>115</v>
      </c>
    </row>
    <row r="223" spans="1:5" ht="17">
      <c r="A223" s="54" t="s">
        <v>23</v>
      </c>
      <c r="B223" s="52"/>
      <c r="C223" s="66"/>
      <c r="D223" s="69">
        <f t="shared" si="6"/>
        <v>88.353458274353756</v>
      </c>
      <c r="E223" s="70" t="s">
        <v>115</v>
      </c>
    </row>
    <row r="224" spans="1:5" ht="17">
      <c r="A224" s="54" t="s">
        <v>24</v>
      </c>
      <c r="B224" s="66"/>
      <c r="C224" s="66"/>
      <c r="D224" s="69">
        <f t="shared" si="6"/>
        <v>98.830308806264824</v>
      </c>
      <c r="E224" s="70" t="s">
        <v>115</v>
      </c>
    </row>
    <row r="225" spans="1:5" ht="17">
      <c r="A225" s="54" t="s">
        <v>25</v>
      </c>
      <c r="B225" s="66"/>
      <c r="C225" s="66"/>
      <c r="D225" s="69">
        <f t="shared" si="6"/>
        <v>37.607357951663289</v>
      </c>
      <c r="E225" s="70" t="s">
        <v>115</v>
      </c>
    </row>
    <row r="226" spans="1:5" ht="17">
      <c r="A226" s="54" t="s">
        <v>26</v>
      </c>
      <c r="B226" s="66"/>
      <c r="C226" s="66"/>
      <c r="D226" s="69">
        <f t="shared" si="6"/>
        <v>94.335822901430035</v>
      </c>
      <c r="E226" s="70" t="s">
        <v>115</v>
      </c>
    </row>
    <row r="227" spans="1:5" ht="17">
      <c r="A227" s="54" t="s">
        <v>27</v>
      </c>
      <c r="B227" s="66"/>
      <c r="C227" s="66"/>
      <c r="D227" s="69">
        <f t="shared" si="6"/>
        <v>44.716941030416166</v>
      </c>
      <c r="E227" s="70" t="s">
        <v>115</v>
      </c>
    </row>
    <row r="228" spans="1:5" ht="17">
      <c r="A228" s="54" t="s">
        <v>11</v>
      </c>
      <c r="B228" s="66"/>
      <c r="C228" s="66"/>
      <c r="D228" s="69">
        <f t="shared" si="6"/>
        <v>99.073856136638994</v>
      </c>
      <c r="E228" s="70" t="s">
        <v>115</v>
      </c>
    </row>
    <row r="229" spans="1:5" ht="17">
      <c r="A229" s="54" t="s">
        <v>47</v>
      </c>
      <c r="B229" s="66"/>
      <c r="C229" s="66"/>
      <c r="D229" s="69">
        <f t="shared" si="6"/>
        <v>99.360468520561568</v>
      </c>
      <c r="E229" s="70" t="s">
        <v>115</v>
      </c>
    </row>
    <row r="230" spans="1:5" ht="17">
      <c r="A230" s="54" t="s">
        <v>48</v>
      </c>
      <c r="B230" s="66"/>
      <c r="C230" s="66"/>
      <c r="D230" s="69">
        <f t="shared" si="6"/>
        <v>69.899977739985829</v>
      </c>
      <c r="E230" s="70" t="s">
        <v>115</v>
      </c>
    </row>
    <row r="231" spans="1:5" ht="17">
      <c r="A231" s="54" t="s">
        <v>49</v>
      </c>
      <c r="B231" s="66"/>
      <c r="C231" s="66"/>
      <c r="D231" s="69">
        <f t="shared" si="6"/>
        <v>20.747311754882428</v>
      </c>
      <c r="E231" s="70" t="s">
        <v>115</v>
      </c>
    </row>
    <row r="232" spans="1:5" ht="17">
      <c r="A232" s="54" t="s">
        <v>50</v>
      </c>
      <c r="B232" s="66"/>
      <c r="C232" s="66"/>
      <c r="D232" s="69">
        <f t="shared" si="6"/>
        <v>9.9442609197852168</v>
      </c>
      <c r="E232" s="70" t="s">
        <v>115</v>
      </c>
    </row>
    <row r="233" spans="1:5" ht="17">
      <c r="A233" s="54" t="s">
        <v>51</v>
      </c>
      <c r="B233" s="66"/>
      <c r="C233" s="66"/>
      <c r="D233" s="69">
        <f t="shared" si="6"/>
        <v>7.607091106750878</v>
      </c>
      <c r="E233" s="70" t="s">
        <v>115</v>
      </c>
    </row>
    <row r="234" spans="1:5" ht="34">
      <c r="A234" s="54" t="s">
        <v>52</v>
      </c>
      <c r="B234" s="66"/>
      <c r="C234" s="66"/>
      <c r="D234" s="69">
        <f t="shared" si="6"/>
        <v>73.175697385346396</v>
      </c>
      <c r="E234" s="70" t="s">
        <v>115</v>
      </c>
    </row>
    <row r="235" spans="1:5" ht="17">
      <c r="A235" s="54" t="s">
        <v>53</v>
      </c>
      <c r="B235" s="66"/>
      <c r="C235" s="66"/>
      <c r="D235" s="69">
        <f t="shared" si="6"/>
        <v>86.304302744458383</v>
      </c>
      <c r="E235" s="70" t="s">
        <v>115</v>
      </c>
    </row>
    <row r="236" spans="1:5" ht="17">
      <c r="A236" s="54" t="s">
        <v>55</v>
      </c>
      <c r="B236" s="66"/>
      <c r="C236" s="66"/>
      <c r="D236" s="69">
        <f t="shared" si="6"/>
        <v>1.7573011172985642</v>
      </c>
      <c r="E236" s="70" t="s">
        <v>115</v>
      </c>
    </row>
    <row r="237" spans="1:5" ht="17">
      <c r="A237" s="54" t="s">
        <v>23</v>
      </c>
      <c r="B237" s="66"/>
      <c r="C237" s="66"/>
      <c r="D237" s="69">
        <f t="shared" si="6"/>
        <v>57.642386544801248</v>
      </c>
      <c r="E237" s="70" t="s">
        <v>115</v>
      </c>
    </row>
    <row r="238" spans="1:5" ht="17">
      <c r="A238" s="54" t="s">
        <v>56</v>
      </c>
      <c r="B238" s="66"/>
      <c r="C238" s="66"/>
      <c r="D238" s="69">
        <f t="shared" si="6"/>
        <v>60.050307378492121</v>
      </c>
      <c r="E238" s="70" t="s">
        <v>115</v>
      </c>
    </row>
    <row r="239" spans="1:5" ht="17">
      <c r="A239" s="54" t="s">
        <v>57</v>
      </c>
      <c r="B239" s="66"/>
      <c r="C239" s="66"/>
      <c r="D239" s="69">
        <f t="shared" si="6"/>
        <v>98.653263593089733</v>
      </c>
      <c r="E239" s="70" t="s">
        <v>115</v>
      </c>
    </row>
    <row r="240" spans="1:5" ht="17">
      <c r="A240" s="54" t="s">
        <v>26</v>
      </c>
      <c r="B240" s="67"/>
      <c r="C240" s="66"/>
      <c r="D240" s="69">
        <f t="shared" si="6"/>
        <v>32.564518919534535</v>
      </c>
      <c r="E240" s="70" t="s">
        <v>115</v>
      </c>
    </row>
    <row r="241" spans="1:5" ht="17">
      <c r="A241" s="54" t="s">
        <v>11</v>
      </c>
      <c r="B241" s="67"/>
      <c r="C241" s="66"/>
      <c r="D241" s="69">
        <f t="shared" si="6"/>
        <v>31.956628421432686</v>
      </c>
      <c r="E241" s="70" t="s">
        <v>115</v>
      </c>
    </row>
    <row r="242" spans="1:5" ht="17">
      <c r="A242" s="54" t="s">
        <v>114</v>
      </c>
      <c r="B242" s="67"/>
      <c r="C242" s="66"/>
      <c r="D242" s="69">
        <f t="shared" si="6"/>
        <v>76</v>
      </c>
      <c r="E242" s="70" t="s">
        <v>115</v>
      </c>
    </row>
    <row r="243" spans="1:5" ht="17">
      <c r="A243" s="50" t="s">
        <v>236</v>
      </c>
      <c r="B243" s="67"/>
      <c r="C243" s="66"/>
      <c r="D243" s="71">
        <f>(((D242+D241+D240+D239+D238+D237+D236+D235+D234+D233+D232+D231+D230+D229+D228+D227+D226+D225+D224+D223+D222+D221))/22)</f>
        <v>61.612224504235719</v>
      </c>
      <c r="E243" s="70" t="s">
        <v>115</v>
      </c>
    </row>
    <row r="244" spans="1:5">
      <c r="A244" s="67"/>
      <c r="B244" s="67"/>
      <c r="C244" s="66"/>
      <c r="D244" s="67"/>
      <c r="E244" s="66"/>
    </row>
    <row r="245" spans="1:5" ht="17">
      <c r="A245" s="50" t="s">
        <v>199</v>
      </c>
      <c r="B245" s="67"/>
      <c r="C245" s="66"/>
      <c r="D245" s="67"/>
      <c r="E245" s="66"/>
    </row>
    <row r="246" spans="1:5" ht="34">
      <c r="A246" s="50" t="s">
        <v>228</v>
      </c>
      <c r="B246" s="66"/>
      <c r="C246" s="66"/>
      <c r="D246" s="69">
        <f>100-((F123*100)/F124)</f>
        <v>91.880126182965299</v>
      </c>
      <c r="E246" s="70" t="s">
        <v>115</v>
      </c>
    </row>
    <row r="247" spans="1:5" ht="17">
      <c r="A247" s="54" t="s">
        <v>50</v>
      </c>
      <c r="B247" s="66"/>
      <c r="C247" s="66"/>
      <c r="D247" s="69">
        <f>F158</f>
        <v>9.9442609197852168</v>
      </c>
      <c r="E247" s="70" t="s">
        <v>115</v>
      </c>
    </row>
    <row r="248" spans="1:5" ht="17">
      <c r="A248" s="54" t="s">
        <v>53</v>
      </c>
      <c r="B248" s="66"/>
      <c r="C248" s="66"/>
      <c r="D248" s="69">
        <f>F159</f>
        <v>7.607091106750878</v>
      </c>
      <c r="E248" s="70" t="s">
        <v>115</v>
      </c>
    </row>
    <row r="249" spans="1:5" ht="17">
      <c r="A249" s="54" t="s">
        <v>49</v>
      </c>
      <c r="B249" s="66"/>
      <c r="C249" s="66"/>
      <c r="D249" s="69">
        <f>F157</f>
        <v>20.747311754882428</v>
      </c>
      <c r="E249" s="70" t="s">
        <v>115</v>
      </c>
    </row>
    <row r="250" spans="1:5" ht="17">
      <c r="A250" s="54" t="s">
        <v>56</v>
      </c>
      <c r="B250" s="66"/>
      <c r="C250" s="66"/>
      <c r="D250" s="69">
        <f>F164</f>
        <v>60.050307378492121</v>
      </c>
      <c r="E250" s="70" t="s">
        <v>115</v>
      </c>
    </row>
    <row r="251" spans="1:5" ht="17">
      <c r="A251" s="54" t="s">
        <v>114</v>
      </c>
      <c r="B251" s="66"/>
      <c r="C251" s="66"/>
      <c r="D251" s="69">
        <f>F168</f>
        <v>76</v>
      </c>
      <c r="E251" s="70" t="s">
        <v>115</v>
      </c>
    </row>
    <row r="252" spans="1:5" ht="17">
      <c r="A252" s="54" t="s">
        <v>22</v>
      </c>
      <c r="B252" s="66"/>
      <c r="C252" s="66"/>
      <c r="D252" s="69">
        <f>F148</f>
        <v>75.007551663034008</v>
      </c>
      <c r="E252" s="70" t="s">
        <v>115</v>
      </c>
    </row>
    <row r="253" spans="1:5" ht="17">
      <c r="A253" s="54" t="s">
        <v>23</v>
      </c>
      <c r="B253" s="66"/>
      <c r="C253" s="66"/>
      <c r="D253" s="69">
        <f>F149</f>
        <v>88.353458274353756</v>
      </c>
      <c r="E253" s="70" t="s">
        <v>115</v>
      </c>
    </row>
    <row r="254" spans="1:5" ht="17">
      <c r="A254" s="54" t="s">
        <v>24</v>
      </c>
      <c r="B254" s="66"/>
      <c r="C254" s="66"/>
      <c r="D254" s="69">
        <f>F150</f>
        <v>98.830308806264824</v>
      </c>
      <c r="E254" s="70" t="s">
        <v>115</v>
      </c>
    </row>
    <row r="255" spans="1:5" ht="17">
      <c r="A255" s="54" t="s">
        <v>25</v>
      </c>
      <c r="B255" s="66"/>
      <c r="C255" s="66"/>
      <c r="D255" s="69">
        <f>F151</f>
        <v>37.607357951663289</v>
      </c>
      <c r="E255" s="70" t="s">
        <v>115</v>
      </c>
    </row>
    <row r="256" spans="1:5" ht="17">
      <c r="A256" s="54" t="s">
        <v>26</v>
      </c>
      <c r="B256" s="66"/>
      <c r="C256" s="66"/>
      <c r="D256" s="69">
        <f>F152</f>
        <v>94.335822901430035</v>
      </c>
      <c r="E256" s="70" t="s">
        <v>115</v>
      </c>
    </row>
    <row r="257" spans="1:5" ht="17">
      <c r="A257" s="54" t="s">
        <v>11</v>
      </c>
      <c r="B257" s="66"/>
      <c r="C257" s="66"/>
      <c r="D257" s="69">
        <f>F154</f>
        <v>99.073856136638994</v>
      </c>
      <c r="E257" s="70" t="s">
        <v>115</v>
      </c>
    </row>
    <row r="258" spans="1:5" ht="17">
      <c r="A258" s="54" t="s">
        <v>55</v>
      </c>
      <c r="B258" s="66"/>
      <c r="C258" s="66"/>
      <c r="D258" s="69">
        <f>F162</f>
        <v>1.7573011172985642</v>
      </c>
      <c r="E258" s="70" t="s">
        <v>115</v>
      </c>
    </row>
    <row r="259" spans="1:5" ht="17">
      <c r="A259" s="54" t="s">
        <v>23</v>
      </c>
      <c r="B259" s="66"/>
      <c r="C259" s="66"/>
      <c r="D259" s="69">
        <f>F163</f>
        <v>57.642386544801248</v>
      </c>
      <c r="E259" s="70" t="s">
        <v>115</v>
      </c>
    </row>
    <row r="260" spans="1:5" ht="17">
      <c r="A260" s="54" t="s">
        <v>57</v>
      </c>
      <c r="B260" s="66"/>
      <c r="C260" s="66"/>
      <c r="D260" s="69">
        <f>F165</f>
        <v>98.653263593089733</v>
      </c>
      <c r="E260" s="70" t="s">
        <v>115</v>
      </c>
    </row>
    <row r="261" spans="1:5" ht="17">
      <c r="A261" s="54" t="s">
        <v>26</v>
      </c>
      <c r="B261" s="66"/>
      <c r="C261" s="66"/>
      <c r="D261" s="69">
        <f>F166</f>
        <v>32.564518919534535</v>
      </c>
      <c r="E261" s="70" t="s">
        <v>115</v>
      </c>
    </row>
    <row r="262" spans="1:5" ht="17">
      <c r="A262" s="54" t="s">
        <v>11</v>
      </c>
      <c r="B262" s="66"/>
      <c r="C262" s="66"/>
      <c r="D262" s="69">
        <f>F167</f>
        <v>31.956628421432686</v>
      </c>
      <c r="E262" s="70" t="s">
        <v>115</v>
      </c>
    </row>
    <row r="263" spans="1:5" ht="17">
      <c r="A263" s="50" t="s">
        <v>240</v>
      </c>
      <c r="B263" s="66"/>
      <c r="C263" s="66"/>
      <c r="D263" s="71">
        <f>(((D262+D261+D260+D259+D258+D257+D256+D255+D254+D253+D252)/11)+(D251+D250+D249+D248+D247+D246))/7</f>
        <v>47.328604222093205</v>
      </c>
      <c r="E263" s="70" t="s">
        <v>115</v>
      </c>
    </row>
    <row r="264" spans="1:5">
      <c r="A264" s="66"/>
      <c r="B264" s="66"/>
      <c r="C264" s="66"/>
      <c r="D264" s="66"/>
      <c r="E264" s="66"/>
    </row>
    <row r="265" spans="1:5">
      <c r="A265" s="66"/>
      <c r="B265" s="66"/>
      <c r="C265" s="66"/>
      <c r="D265" s="66"/>
      <c r="E265" s="66"/>
    </row>
    <row r="266" spans="1:5">
      <c r="A266" s="66"/>
      <c r="B266" s="66"/>
      <c r="C266" s="66"/>
      <c r="D266" s="66"/>
      <c r="E266" s="66"/>
    </row>
    <row r="267" spans="1:5" ht="17">
      <c r="A267" s="50" t="s">
        <v>198</v>
      </c>
      <c r="B267" s="66"/>
      <c r="C267" s="66"/>
      <c r="D267" s="67"/>
      <c r="E267" s="66"/>
    </row>
    <row r="268" spans="1:5" ht="34">
      <c r="A268" s="50" t="s">
        <v>228</v>
      </c>
      <c r="B268" s="66"/>
      <c r="C268" s="66"/>
      <c r="D268" s="69">
        <f>100-((F123*100)/F124)</f>
        <v>91.880126182965299</v>
      </c>
      <c r="E268" s="70" t="s">
        <v>115</v>
      </c>
    </row>
    <row r="269" spans="1:5" ht="17">
      <c r="A269" s="50" t="s">
        <v>191</v>
      </c>
      <c r="B269" s="66"/>
      <c r="C269" s="66"/>
      <c r="D269" s="69">
        <f>100-(B114*100)</f>
        <v>41.778844631384437</v>
      </c>
      <c r="E269" s="70" t="s">
        <v>115</v>
      </c>
    </row>
    <row r="270" spans="1:5" ht="17">
      <c r="A270" s="50" t="s">
        <v>238</v>
      </c>
      <c r="B270" s="66"/>
      <c r="C270" s="66"/>
      <c r="D270" s="69">
        <f>D243</f>
        <v>61.612224504235719</v>
      </c>
      <c r="E270" s="70" t="s">
        <v>115</v>
      </c>
    </row>
    <row r="271" spans="1:5" ht="17">
      <c r="A271" s="50" t="s">
        <v>239</v>
      </c>
      <c r="B271" s="66"/>
      <c r="C271" s="66"/>
      <c r="D271" s="69">
        <f>D263</f>
        <v>47.328604222093205</v>
      </c>
      <c r="E271" s="70" t="s">
        <v>115</v>
      </c>
    </row>
    <row r="272" spans="1:5" ht="17">
      <c r="A272" s="54" t="s">
        <v>24</v>
      </c>
      <c r="B272" s="66"/>
      <c r="C272" s="66"/>
      <c r="D272" s="69">
        <f>F150</f>
        <v>98.830308806264824</v>
      </c>
      <c r="E272" s="70" t="s">
        <v>115</v>
      </c>
    </row>
    <row r="273" spans="1:5" ht="17">
      <c r="A273" s="54" t="s">
        <v>25</v>
      </c>
      <c r="B273" s="66"/>
      <c r="C273" s="66"/>
      <c r="D273" s="69">
        <f>F151</f>
        <v>37.607357951663289</v>
      </c>
      <c r="E273" s="70" t="s">
        <v>115</v>
      </c>
    </row>
    <row r="274" spans="1:5" ht="17">
      <c r="A274" s="54" t="s">
        <v>26</v>
      </c>
      <c r="B274" s="66"/>
      <c r="C274" s="66"/>
      <c r="D274" s="69">
        <f>F152</f>
        <v>94.335822901430035</v>
      </c>
      <c r="E274" s="70" t="s">
        <v>115</v>
      </c>
    </row>
    <row r="275" spans="1:5" ht="17">
      <c r="A275" s="54" t="s">
        <v>27</v>
      </c>
      <c r="B275" s="66"/>
      <c r="C275" s="66"/>
      <c r="D275" s="69">
        <f>F153</f>
        <v>44.716941030416166</v>
      </c>
      <c r="E275" s="70" t="s">
        <v>115</v>
      </c>
    </row>
    <row r="276" spans="1:5" ht="17">
      <c r="A276" s="54" t="s">
        <v>11</v>
      </c>
      <c r="B276" s="66"/>
      <c r="C276" s="66"/>
      <c r="D276" s="69">
        <f>F154</f>
        <v>99.073856136638994</v>
      </c>
      <c r="E276" s="70" t="s">
        <v>115</v>
      </c>
    </row>
    <row r="277" spans="1:5" ht="17">
      <c r="A277" s="54" t="s">
        <v>26</v>
      </c>
      <c r="B277" s="66"/>
      <c r="C277" s="66"/>
      <c r="D277" s="69">
        <f>F166</f>
        <v>32.564518919534535</v>
      </c>
      <c r="E277" s="70" t="s">
        <v>115</v>
      </c>
    </row>
    <row r="278" spans="1:5" ht="17">
      <c r="A278" s="54" t="s">
        <v>11</v>
      </c>
      <c r="B278" s="66"/>
      <c r="C278" s="66"/>
      <c r="D278" s="69">
        <f>F167</f>
        <v>31.956628421432686</v>
      </c>
      <c r="E278" s="70" t="s">
        <v>115</v>
      </c>
    </row>
    <row r="279" spans="1:5" ht="17">
      <c r="A279" s="54" t="s">
        <v>114</v>
      </c>
      <c r="B279" s="66"/>
      <c r="C279" s="66"/>
      <c r="D279" s="69">
        <f>F168</f>
        <v>76</v>
      </c>
      <c r="E279" s="70" t="s">
        <v>115</v>
      </c>
    </row>
    <row r="280" spans="1:5" ht="17">
      <c r="A280" s="50" t="s">
        <v>241</v>
      </c>
      <c r="B280" s="66"/>
      <c r="C280" s="66"/>
      <c r="D280" s="71">
        <f>(((D279+D277+D278+D276+D275+D274+D273+D272)/8)+(D271+D270+D269+D268))/5</f>
        <v>61.397095762320234</v>
      </c>
      <c r="E280" s="70" t="s">
        <v>115</v>
      </c>
    </row>
    <row r="281" spans="1:5">
      <c r="A281" s="66"/>
      <c r="B281" s="66"/>
      <c r="C281" s="66"/>
      <c r="D281" s="68"/>
      <c r="E281" s="66"/>
    </row>
    <row r="282" spans="1:5">
      <c r="A282" s="66"/>
      <c r="B282" s="66"/>
      <c r="C282" s="66"/>
      <c r="D282" s="68"/>
      <c r="E282" s="66"/>
    </row>
    <row r="283" spans="1:5">
      <c r="A283" s="66"/>
      <c r="B283" s="66"/>
      <c r="C283" s="66"/>
      <c r="D283" s="68"/>
      <c r="E283" s="66"/>
    </row>
    <row r="284" spans="1:5">
      <c r="A284" s="66"/>
      <c r="B284" s="66"/>
      <c r="C284" s="66"/>
      <c r="D284" s="68"/>
      <c r="E284" s="66"/>
    </row>
    <row r="285" spans="1:5">
      <c r="A285" s="66"/>
      <c r="B285" s="66"/>
      <c r="C285" s="66"/>
      <c r="D285" s="68"/>
      <c r="E285" s="66"/>
    </row>
    <row r="286" spans="1:5">
      <c r="A286" s="66"/>
      <c r="B286" s="66"/>
      <c r="C286" s="66"/>
      <c r="D286" s="68"/>
      <c r="E286" s="66"/>
    </row>
    <row r="287" spans="1:5">
      <c r="A287" s="66"/>
      <c r="B287" s="66"/>
      <c r="C287" s="66"/>
      <c r="D287" s="68"/>
      <c r="E287" s="66"/>
    </row>
    <row r="288" spans="1:5">
      <c r="A288" s="66"/>
      <c r="B288" s="66"/>
      <c r="C288" s="66"/>
      <c r="D288" s="68"/>
      <c r="E288" s="66"/>
    </row>
    <row r="289" spans="1:5">
      <c r="A289" s="66"/>
      <c r="B289" s="66"/>
      <c r="C289" s="66"/>
      <c r="D289" s="68"/>
      <c r="E289" s="66"/>
    </row>
    <row r="290" spans="1:5">
      <c r="A290" s="66"/>
      <c r="B290" s="66"/>
      <c r="C290" s="66"/>
      <c r="D290" s="68"/>
      <c r="E290" s="66"/>
    </row>
    <row r="291" spans="1:5">
      <c r="A291" s="66"/>
      <c r="B291" s="66"/>
      <c r="C291" s="66"/>
      <c r="D291" s="68"/>
      <c r="E291" s="66"/>
    </row>
    <row r="292" spans="1:5">
      <c r="A292" s="66"/>
      <c r="B292" s="66"/>
      <c r="C292" s="66"/>
      <c r="D292" s="68"/>
      <c r="E292" s="66"/>
    </row>
    <row r="293" spans="1:5">
      <c r="A293" s="66"/>
      <c r="B293" s="66"/>
      <c r="C293" s="66"/>
      <c r="D293" s="68"/>
      <c r="E293" s="66"/>
    </row>
    <row r="294" spans="1:5">
      <c r="A294" s="66"/>
      <c r="B294" s="66"/>
      <c r="C294" s="66"/>
      <c r="D294" s="68"/>
      <c r="E294" s="66"/>
    </row>
    <row r="295" spans="1:5">
      <c r="A295" s="66"/>
      <c r="B295" s="66"/>
      <c r="C295" s="66"/>
      <c r="D295" s="68"/>
      <c r="E295" s="66"/>
    </row>
    <row r="296" spans="1:5">
      <c r="A296" s="66"/>
      <c r="B296" s="66"/>
      <c r="C296" s="66"/>
      <c r="D296" s="68"/>
      <c r="E296" s="66"/>
    </row>
    <row r="297" spans="1:5">
      <c r="A297" s="66"/>
      <c r="B297" s="66"/>
      <c r="C297" s="66"/>
      <c r="D297" s="68"/>
      <c r="E297" s="66"/>
    </row>
    <row r="298" spans="1:5">
      <c r="A298" s="66"/>
      <c r="B298" s="66"/>
      <c r="C298" s="66"/>
      <c r="D298" s="68"/>
      <c r="E298" s="66"/>
    </row>
    <row r="299" spans="1:5">
      <c r="A299" s="66"/>
      <c r="B299" s="66"/>
      <c r="C299" s="66"/>
      <c r="D299" s="68"/>
      <c r="E299" s="66"/>
    </row>
    <row r="300" spans="1:5">
      <c r="A300" s="66"/>
      <c r="B300" s="66"/>
      <c r="C300" s="66"/>
      <c r="D300" s="68"/>
      <c r="E300" s="66"/>
    </row>
    <row r="301" spans="1:5">
      <c r="A301" s="66"/>
      <c r="B301" s="66"/>
      <c r="C301" s="66"/>
      <c r="D301" s="68"/>
      <c r="E301" s="66"/>
    </row>
    <row r="302" spans="1:5">
      <c r="A302" s="66"/>
      <c r="B302" s="66"/>
      <c r="C302" s="66"/>
      <c r="D302" s="68"/>
      <c r="E302" s="66"/>
    </row>
    <row r="303" spans="1:5">
      <c r="A303" s="66"/>
      <c r="B303" s="66"/>
      <c r="C303" s="66"/>
      <c r="D303" s="68"/>
      <c r="E303" s="66"/>
    </row>
    <row r="304" spans="1:5">
      <c r="A304" s="66"/>
      <c r="B304" s="66"/>
      <c r="C304" s="66"/>
      <c r="D304" s="68"/>
      <c r="E304" s="66"/>
    </row>
    <row r="305" spans="1:5">
      <c r="A305" s="66"/>
      <c r="B305" s="66"/>
      <c r="C305" s="66"/>
      <c r="D305" s="68"/>
      <c r="E305" s="66"/>
    </row>
    <row r="306" spans="1:5">
      <c r="A306" s="66"/>
      <c r="B306" s="66"/>
      <c r="C306" s="66"/>
      <c r="D306" s="68"/>
      <c r="E306" s="66"/>
    </row>
    <row r="307" spans="1:5">
      <c r="A307" s="66"/>
      <c r="B307" s="66"/>
      <c r="C307" s="66"/>
      <c r="D307" s="68"/>
      <c r="E307" s="66"/>
    </row>
    <row r="308" spans="1:5">
      <c r="A308" s="66"/>
      <c r="B308" s="66"/>
      <c r="C308" s="66"/>
      <c r="D308" s="68"/>
      <c r="E308" s="66"/>
    </row>
    <row r="309" spans="1:5">
      <c r="A309" s="66"/>
      <c r="B309" s="66"/>
      <c r="C309" s="66"/>
      <c r="D309" s="68"/>
      <c r="E309" s="66"/>
    </row>
    <row r="310" spans="1:5">
      <c r="A310" s="66"/>
      <c r="B310" s="66"/>
      <c r="C310" s="66"/>
      <c r="D310" s="68"/>
      <c r="E310" s="66"/>
    </row>
    <row r="311" spans="1:5">
      <c r="A311" s="66"/>
      <c r="B311" s="66"/>
      <c r="C311" s="66"/>
      <c r="D311" s="68"/>
      <c r="E311" s="66"/>
    </row>
    <row r="312" spans="1:5">
      <c r="A312" s="66"/>
      <c r="B312" s="66"/>
      <c r="C312" s="66"/>
      <c r="D312" s="68"/>
      <c r="E312" s="66"/>
    </row>
    <row r="313" spans="1:5">
      <c r="A313" s="66"/>
      <c r="B313" s="66"/>
      <c r="C313" s="66"/>
      <c r="D313" s="68"/>
      <c r="E313" s="66"/>
    </row>
    <row r="314" spans="1:5">
      <c r="A314" s="66"/>
      <c r="B314" s="66"/>
      <c r="C314" s="66"/>
      <c r="D314" s="68"/>
      <c r="E314" s="66"/>
    </row>
    <row r="315" spans="1:5">
      <c r="A315" s="66"/>
      <c r="B315" s="66"/>
      <c r="C315" s="66"/>
      <c r="D315" s="68"/>
      <c r="E315" s="66"/>
    </row>
    <row r="316" spans="1:5">
      <c r="A316" s="66"/>
      <c r="B316" s="66"/>
      <c r="C316" s="66"/>
      <c r="D316" s="68"/>
      <c r="E316" s="66"/>
    </row>
    <row r="317" spans="1:5">
      <c r="A317" s="66"/>
      <c r="B317" s="66"/>
      <c r="C317" s="66"/>
      <c r="D317" s="68"/>
      <c r="E317" s="66"/>
    </row>
    <row r="318" spans="1:5">
      <c r="A318" s="66"/>
      <c r="B318" s="66"/>
      <c r="C318" s="66"/>
      <c r="D318" s="68"/>
      <c r="E318" s="66"/>
    </row>
    <row r="319" spans="1:5">
      <c r="A319" s="66"/>
      <c r="B319" s="66"/>
      <c r="C319" s="66"/>
      <c r="D319" s="68"/>
      <c r="E319" s="66"/>
    </row>
    <row r="320" spans="1:5">
      <c r="A320" s="66"/>
      <c r="B320" s="66"/>
      <c r="C320" s="66"/>
      <c r="D320" s="68"/>
      <c r="E320" s="66"/>
    </row>
    <row r="321" spans="1:5">
      <c r="A321" s="66"/>
      <c r="B321" s="66"/>
      <c r="C321" s="66"/>
      <c r="D321" s="68"/>
      <c r="E321" s="66"/>
    </row>
    <row r="322" spans="1:5">
      <c r="A322" s="66"/>
      <c r="B322" s="66"/>
      <c r="C322" s="66"/>
      <c r="D322" s="68"/>
      <c r="E322" s="66"/>
    </row>
    <row r="323" spans="1:5">
      <c r="A323" s="66"/>
      <c r="B323" s="66"/>
      <c r="C323" s="66"/>
      <c r="D323" s="68"/>
      <c r="E323" s="66"/>
    </row>
    <row r="324" spans="1:5">
      <c r="A324" s="66"/>
      <c r="B324" s="66"/>
      <c r="C324" s="66"/>
      <c r="D324" s="68"/>
      <c r="E324" s="66"/>
    </row>
    <row r="325" spans="1:5">
      <c r="A325" s="66"/>
      <c r="B325" s="66"/>
      <c r="C325" s="66"/>
      <c r="D325" s="68"/>
      <c r="E325" s="66"/>
    </row>
    <row r="326" spans="1:5">
      <c r="A326" s="66"/>
      <c r="B326" s="66"/>
      <c r="C326" s="66"/>
      <c r="D326" s="68"/>
      <c r="E326" s="66"/>
    </row>
    <row r="327" spans="1:5">
      <c r="A327" s="66"/>
      <c r="B327" s="66"/>
      <c r="C327" s="66"/>
      <c r="D327" s="68"/>
      <c r="E327" s="66"/>
    </row>
    <row r="328" spans="1:5">
      <c r="A328" s="66"/>
      <c r="B328" s="66"/>
      <c r="C328" s="66"/>
      <c r="D328" s="68"/>
      <c r="E328" s="66"/>
    </row>
    <row r="329" spans="1:5">
      <c r="A329" s="66"/>
      <c r="B329" s="66"/>
      <c r="C329" s="66"/>
      <c r="D329" s="68"/>
      <c r="E329" s="66"/>
    </row>
    <row r="330" spans="1:5">
      <c r="A330" s="66"/>
      <c r="B330" s="66"/>
      <c r="C330" s="66"/>
      <c r="D330" s="68"/>
      <c r="E330" s="66"/>
    </row>
    <row r="331" spans="1:5">
      <c r="A331" s="66"/>
      <c r="B331" s="66"/>
      <c r="C331" s="66"/>
      <c r="D331" s="68"/>
      <c r="E331" s="66"/>
    </row>
    <row r="332" spans="1:5">
      <c r="A332" s="66"/>
      <c r="B332" s="66"/>
      <c r="C332" s="66"/>
      <c r="D332" s="68"/>
      <c r="E332" s="66"/>
    </row>
    <row r="333" spans="1:5">
      <c r="A333" s="66"/>
      <c r="B333" s="66"/>
      <c r="C333" s="66"/>
      <c r="D333" s="68"/>
      <c r="E333" s="66"/>
    </row>
    <row r="334" spans="1:5">
      <c r="A334" s="66"/>
      <c r="B334" s="66"/>
      <c r="C334" s="66"/>
      <c r="D334" s="68"/>
      <c r="E334" s="66"/>
    </row>
  </sheetData>
  <sheetProtection selectLockedCells="1"/>
  <mergeCells count="8">
    <mergeCell ref="A35:D35"/>
    <mergeCell ref="A112:D112"/>
    <mergeCell ref="B203:C203"/>
    <mergeCell ref="B209:C209"/>
    <mergeCell ref="B121:C121"/>
    <mergeCell ref="B123:C123"/>
    <mergeCell ref="K115:Q115"/>
    <mergeCell ref="K128:Q1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zoomScale="83" zoomScaleNormal="83" zoomScalePageLayoutView="83" workbookViewId="0">
      <selection sqref="A1:XFD1048576"/>
    </sheetView>
  </sheetViews>
  <sheetFormatPr baseColWidth="10" defaultRowHeight="16"/>
  <cols>
    <col min="1" max="1" width="10.83203125" style="52"/>
    <col min="2" max="2" width="17.83203125" style="52" customWidth="1"/>
    <col min="3" max="5" width="15.6640625" style="52" customWidth="1"/>
    <col min="6" max="6" width="20.33203125" style="52" customWidth="1"/>
    <col min="7" max="7" width="12.83203125" style="52" customWidth="1"/>
    <col min="8" max="8" width="14" style="52" customWidth="1"/>
    <col min="9" max="9" width="9.33203125" style="52" customWidth="1"/>
    <col min="10" max="10" width="10.83203125" style="53"/>
    <col min="11" max="11" width="18.33203125" style="53" customWidth="1"/>
    <col min="12" max="12" width="18.33203125" style="52" customWidth="1"/>
    <col min="13" max="13" width="18.33203125" style="53" customWidth="1"/>
    <col min="14" max="19" width="18.33203125" style="52" customWidth="1"/>
    <col min="20" max="20" width="10.83203125" style="52"/>
    <col min="21" max="22" width="10.83203125" style="52" customWidth="1"/>
    <col min="23" max="23" width="12.6640625" style="52" customWidth="1"/>
    <col min="24" max="16384" width="10.83203125" style="52"/>
  </cols>
  <sheetData>
    <row r="1" spans="1:23">
      <c r="A1" s="50" t="s">
        <v>38</v>
      </c>
      <c r="B1" s="50" t="s">
        <v>39</v>
      </c>
      <c r="C1" s="51" t="s">
        <v>58</v>
      </c>
      <c r="D1" s="51"/>
      <c r="E1" s="51"/>
      <c r="F1" s="51" t="s">
        <v>120</v>
      </c>
      <c r="G1" s="51">
        <v>19200</v>
      </c>
      <c r="H1" s="51" t="s">
        <v>76</v>
      </c>
      <c r="J1" s="53" t="s">
        <v>121</v>
      </c>
      <c r="K1" s="53" t="s">
        <v>76</v>
      </c>
      <c r="L1" s="52" t="s">
        <v>119</v>
      </c>
      <c r="O1" s="50" t="s">
        <v>38</v>
      </c>
      <c r="P1" s="50" t="s">
        <v>39</v>
      </c>
      <c r="Q1" s="52" t="s">
        <v>115</v>
      </c>
      <c r="U1" s="52" t="s">
        <v>61</v>
      </c>
    </row>
    <row r="2" spans="1:23" ht="17">
      <c r="A2" s="117" t="s">
        <v>40</v>
      </c>
      <c r="B2" s="54" t="s">
        <v>22</v>
      </c>
      <c r="C2" s="52">
        <f>'Inputs New City'!D6</f>
        <v>14563</v>
      </c>
      <c r="D2" s="52">
        <f>G2</f>
        <v>75.848958333333329</v>
      </c>
      <c r="E2" s="52">
        <f>((D2*100)/D30)</f>
        <v>52.283849996527771</v>
      </c>
      <c r="F2" s="52" t="s">
        <v>59</v>
      </c>
      <c r="G2" s="52">
        <f>((C2*100)/G1)</f>
        <v>75.848958333333329</v>
      </c>
      <c r="H2" s="52">
        <f>C2</f>
        <v>14563</v>
      </c>
      <c r="J2" s="53">
        <f t="shared" ref="J2:J17" si="0">IF(G2&lt;0.01,0,K2)</f>
        <v>75.007551663034008</v>
      </c>
      <c r="K2" s="52">
        <f>G2-M2</f>
        <v>75.007551663034008</v>
      </c>
      <c r="L2" s="52">
        <f>((H2*100)/H31)</f>
        <v>34.140667029932523</v>
      </c>
      <c r="M2" s="53">
        <f>0.5+(L2/100)</f>
        <v>0.84140667029932525</v>
      </c>
      <c r="O2" s="117" t="s">
        <v>40</v>
      </c>
      <c r="P2" s="54" t="s">
        <v>22</v>
      </c>
      <c r="Q2" s="52">
        <f>J2</f>
        <v>75.007551663034008</v>
      </c>
      <c r="R2" s="52">
        <f>E2</f>
        <v>52.283849996527771</v>
      </c>
      <c r="U2" s="51">
        <v>19717.400000000001</v>
      </c>
      <c r="V2" s="52">
        <v>16354</v>
      </c>
    </row>
    <row r="3" spans="1:23" ht="17">
      <c r="A3" s="117"/>
      <c r="B3" s="54" t="s">
        <v>23</v>
      </c>
      <c r="C3" s="52">
        <f>'Inputs New City'!D7</f>
        <v>17137</v>
      </c>
      <c r="D3" s="52">
        <f>G3</f>
        <v>89.255208333333329</v>
      </c>
      <c r="E3" s="52">
        <f>((D3*100)/D30)</f>
        <v>61.524983684027767</v>
      </c>
      <c r="F3" s="52" t="s">
        <v>59</v>
      </c>
      <c r="G3" s="52">
        <f>((C3*100)/G1)</f>
        <v>89.255208333333329</v>
      </c>
      <c r="H3" s="52">
        <f>C3</f>
        <v>17137</v>
      </c>
      <c r="J3" s="53">
        <f t="shared" si="0"/>
        <v>88.353458274353756</v>
      </c>
      <c r="K3" s="52">
        <f t="shared" ref="K3:K29" si="1">G3-M3</f>
        <v>88.353458274353756</v>
      </c>
      <c r="L3" s="52">
        <f>((H3*100)/H31)</f>
        <v>40.175005897957405</v>
      </c>
      <c r="M3" s="53">
        <f t="shared" ref="M3:M8" si="2">0.5+(L3/100)</f>
        <v>0.90175005897957405</v>
      </c>
      <c r="O3" s="117"/>
      <c r="P3" s="54" t="s">
        <v>23</v>
      </c>
      <c r="Q3" s="52">
        <f t="shared" ref="Q3:Q8" si="3">J3</f>
        <v>88.353458274353756</v>
      </c>
      <c r="R3" s="52">
        <f t="shared" ref="R3:R8" si="4">E3</f>
        <v>61.524983684027767</v>
      </c>
      <c r="U3" s="52">
        <v>17254.099999999999</v>
      </c>
    </row>
    <row r="4" spans="1:23" ht="17">
      <c r="A4" s="117"/>
      <c r="B4" s="54" t="s">
        <v>24</v>
      </c>
      <c r="C4" s="52">
        <f>'Inputs New City'!D108</f>
        <v>36.238532110091747</v>
      </c>
      <c r="D4" s="52">
        <f>C4</f>
        <v>36.238532110091747</v>
      </c>
      <c r="E4" s="52">
        <f>((D4*100)/D30)</f>
        <v>24.979775840978593</v>
      </c>
      <c r="F4" s="52" t="s">
        <v>60</v>
      </c>
      <c r="G4" s="52">
        <f>((C4*100)/F9)</f>
        <v>100</v>
      </c>
      <c r="H4" s="52">
        <f>(U4*C4)/W4</f>
        <v>28566.263353363014</v>
      </c>
      <c r="J4" s="53">
        <f t="shared" si="0"/>
        <v>98.830308806264824</v>
      </c>
      <c r="K4" s="52">
        <f t="shared" si="1"/>
        <v>98.830308806264824</v>
      </c>
      <c r="L4" s="52">
        <f>((H4*100)/H31)</f>
        <v>66.969119373517159</v>
      </c>
      <c r="M4" s="53">
        <f t="shared" si="2"/>
        <v>1.1696911937351717</v>
      </c>
      <c r="O4" s="117"/>
      <c r="P4" s="54" t="s">
        <v>24</v>
      </c>
      <c r="Q4" s="52">
        <f t="shared" si="3"/>
        <v>98.830308806264824</v>
      </c>
      <c r="R4" s="52">
        <f t="shared" si="4"/>
        <v>24.979775840978593</v>
      </c>
      <c r="U4" s="51">
        <v>23732.94</v>
      </c>
      <c r="W4" s="52">
        <f>(C4*U2)/U4</f>
        <v>30.107084627000411</v>
      </c>
    </row>
    <row r="5" spans="1:23" ht="17">
      <c r="A5" s="117"/>
      <c r="B5" s="54" t="s">
        <v>25</v>
      </c>
      <c r="C5" s="52">
        <f>'Inputs New City'!D109</f>
        <v>13.953488372093023</v>
      </c>
      <c r="D5" s="52">
        <f>C5</f>
        <v>13.953488372093023</v>
      </c>
      <c r="E5" s="52">
        <f>((D5*100)/D30)</f>
        <v>9.618353488372092</v>
      </c>
      <c r="F5" s="52" t="s">
        <v>60</v>
      </c>
      <c r="G5" s="52">
        <f>((C5*100)/F9)</f>
        <v>38.504562849573148</v>
      </c>
      <c r="H5" s="52">
        <f>(U5*C5)/W5</f>
        <v>16943.122180916351</v>
      </c>
      <c r="J5" s="53">
        <f t="shared" si="0"/>
        <v>37.607357951663289</v>
      </c>
      <c r="K5" s="52">
        <f t="shared" si="1"/>
        <v>37.607357951663289</v>
      </c>
      <c r="L5" s="52">
        <f>((H5*100)/H31)</f>
        <v>39.720489790986015</v>
      </c>
      <c r="M5" s="53">
        <f t="shared" si="2"/>
        <v>0.89720489790986013</v>
      </c>
      <c r="O5" s="117"/>
      <c r="P5" s="54" t="s">
        <v>25</v>
      </c>
      <c r="Q5" s="52">
        <f t="shared" si="3"/>
        <v>37.607357951663289</v>
      </c>
      <c r="R5" s="52">
        <f t="shared" si="4"/>
        <v>9.618353488372092</v>
      </c>
      <c r="U5" s="52">
        <v>18277.7</v>
      </c>
      <c r="W5" s="52">
        <f>(C5*U2)/U5</f>
        <v>15.052578367513799</v>
      </c>
    </row>
    <row r="6" spans="1:23" ht="17">
      <c r="A6" s="117"/>
      <c r="B6" s="54" t="s">
        <v>26</v>
      </c>
      <c r="C6" s="52">
        <f>'Inputs New City'!D14</f>
        <v>110.41009463722398</v>
      </c>
      <c r="D6" s="52">
        <f>C6</f>
        <v>110.41009463722398</v>
      </c>
      <c r="E6" s="52">
        <f>((D6*100)/D30)</f>
        <v>76.107371188222913</v>
      </c>
      <c r="F6" s="52" t="s">
        <v>60</v>
      </c>
      <c r="G6" s="52">
        <f>((C6*100)/C9)</f>
        <v>95.454545454545453</v>
      </c>
      <c r="H6" s="52">
        <f>(U6*C6)/W6</f>
        <v>26392.151427855599</v>
      </c>
      <c r="J6" s="53">
        <f t="shared" si="0"/>
        <v>94.335822901430035</v>
      </c>
      <c r="K6" s="52">
        <f t="shared" si="1"/>
        <v>94.335822901430035</v>
      </c>
      <c r="L6" s="52">
        <f>((H6*100)/H31)</f>
        <v>61.872255311541316</v>
      </c>
      <c r="M6" s="53">
        <f t="shared" si="2"/>
        <v>1.118722553115413</v>
      </c>
      <c r="O6" s="117"/>
      <c r="P6" s="54" t="s">
        <v>26</v>
      </c>
      <c r="Q6" s="52">
        <f t="shared" si="3"/>
        <v>94.335822901430035</v>
      </c>
      <c r="R6" s="52">
        <f t="shared" si="4"/>
        <v>76.107371188222913</v>
      </c>
      <c r="U6" s="52">
        <v>22811.94</v>
      </c>
      <c r="W6" s="52">
        <f>(C6*U2)/U6</f>
        <v>95.432479657582832</v>
      </c>
    </row>
    <row r="7" spans="1:23" ht="17">
      <c r="A7" s="117"/>
      <c r="B7" s="54" t="s">
        <v>27</v>
      </c>
      <c r="C7" s="52">
        <f>'Inputs New City'!D23</f>
        <v>52.576235541535226</v>
      </c>
      <c r="D7" s="52">
        <f>C7</f>
        <v>52.576235541535226</v>
      </c>
      <c r="E7" s="52">
        <f>((D7*100)/D30)</f>
        <v>36.241605327725196</v>
      </c>
      <c r="F7" s="52" t="s">
        <v>60</v>
      </c>
      <c r="G7" s="52">
        <f>((C7*100)/C9)</f>
        <v>45.454545454545453</v>
      </c>
      <c r="H7" s="52">
        <f>(U7*C7)/W7</f>
        <v>10135.224439408603</v>
      </c>
      <c r="J7" s="53">
        <f t="shared" si="0"/>
        <v>44.716941030416166</v>
      </c>
      <c r="K7" s="52">
        <f t="shared" si="1"/>
        <v>44.716941030416166</v>
      </c>
      <c r="L7" s="52">
        <f>((H7*100)/H31)</f>
        <v>23.760442412928906</v>
      </c>
      <c r="M7" s="53">
        <f t="shared" si="2"/>
        <v>0.73760442412928906</v>
      </c>
      <c r="O7" s="117"/>
      <c r="P7" s="54" t="s">
        <v>27</v>
      </c>
      <c r="Q7" s="52">
        <f t="shared" si="3"/>
        <v>44.716941030416166</v>
      </c>
      <c r="R7" s="52">
        <f t="shared" si="4"/>
        <v>36.241605327725196</v>
      </c>
      <c r="U7" s="52">
        <v>13224</v>
      </c>
      <c r="W7" s="52">
        <f>(C7*U3)/U7</f>
        <v>68.599185243285163</v>
      </c>
    </row>
    <row r="8" spans="1:23" ht="17">
      <c r="A8" s="117"/>
      <c r="B8" s="54" t="s">
        <v>11</v>
      </c>
      <c r="C8" s="52">
        <f>'Inputs New City'!D21</f>
        <v>115.6677181913775</v>
      </c>
      <c r="D8" s="52">
        <f>C8</f>
        <v>115.6677181913775</v>
      </c>
      <c r="E8" s="52">
        <f>((D8*100)/D30)</f>
        <v>79.731531720995434</v>
      </c>
      <c r="F8" s="52" t="s">
        <v>60</v>
      </c>
      <c r="G8" s="52">
        <f>((C8*100)/C9)</f>
        <v>100</v>
      </c>
      <c r="H8" s="52">
        <f>(U8*C8)/W8</f>
        <v>18177.539052430846</v>
      </c>
      <c r="J8" s="53">
        <f t="shared" si="0"/>
        <v>99.073856136638994</v>
      </c>
      <c r="K8" s="52">
        <f t="shared" si="1"/>
        <v>99.073856136638994</v>
      </c>
      <c r="L8" s="52">
        <f>((H8*100)/H31)</f>
        <v>42.61438633610085</v>
      </c>
      <c r="M8" s="53">
        <f t="shared" si="2"/>
        <v>0.92614386336100851</v>
      </c>
      <c r="O8" s="117"/>
      <c r="P8" s="54" t="s">
        <v>11</v>
      </c>
      <c r="Q8" s="52">
        <f t="shared" si="3"/>
        <v>99.073856136638994</v>
      </c>
      <c r="R8" s="52">
        <f t="shared" si="4"/>
        <v>79.731531720995434</v>
      </c>
      <c r="U8" s="52">
        <v>18931.82</v>
      </c>
      <c r="W8" s="52">
        <f>(C8*U2)/U8</f>
        <v>120.46737538528609</v>
      </c>
    </row>
    <row r="9" spans="1:23" ht="17">
      <c r="A9" s="55"/>
      <c r="B9" s="56" t="s">
        <v>118</v>
      </c>
      <c r="C9" s="57">
        <f>MAX(C4:C8)</f>
        <v>115.6677181913775</v>
      </c>
      <c r="D9" s="57"/>
      <c r="E9" s="57"/>
      <c r="F9" s="57">
        <f>MAX(C4:C5)</f>
        <v>36.238532110091747</v>
      </c>
      <c r="J9" s="53">
        <f t="shared" si="0"/>
        <v>0</v>
      </c>
      <c r="K9" s="52"/>
      <c r="O9" s="117" t="s">
        <v>46</v>
      </c>
      <c r="P9" s="54" t="s">
        <v>47</v>
      </c>
      <c r="Q9" s="52">
        <f t="shared" ref="Q9:Q15" si="5">J15</f>
        <v>99.360468520561568</v>
      </c>
      <c r="R9" s="52">
        <f>E15</f>
        <v>100</v>
      </c>
    </row>
    <row r="10" spans="1:23" ht="51">
      <c r="A10" s="117" t="s">
        <v>41</v>
      </c>
      <c r="B10" s="54" t="s">
        <v>42</v>
      </c>
      <c r="C10" s="58">
        <f>'Inputs New City'!D210</f>
        <v>91.880126182965299</v>
      </c>
      <c r="D10" s="52">
        <f>G10</f>
        <v>100</v>
      </c>
      <c r="E10" s="52">
        <f>((D10*100)/D30)</f>
        <v>68.931533333333334</v>
      </c>
      <c r="F10" s="52" t="s">
        <v>73</v>
      </c>
      <c r="G10" s="52">
        <f>((C10*100)/C14)</f>
        <v>100</v>
      </c>
      <c r="H10" s="52">
        <f>(U10*C10)/W10</f>
        <v>42655.874260546872</v>
      </c>
      <c r="J10" s="53">
        <f t="shared" si="0"/>
        <v>98.5</v>
      </c>
      <c r="K10" s="52">
        <f t="shared" si="1"/>
        <v>98.5</v>
      </c>
      <c r="L10" s="52">
        <f>((H10*100)/H31)</f>
        <v>100</v>
      </c>
      <c r="M10" s="53">
        <f>0.5+(L10/100)</f>
        <v>1.5</v>
      </c>
      <c r="O10" s="117"/>
      <c r="P10" s="54" t="s">
        <v>48</v>
      </c>
      <c r="Q10" s="52">
        <f t="shared" si="5"/>
        <v>69.899977739985829</v>
      </c>
      <c r="R10" s="52">
        <f t="shared" ref="R10:R15" si="6">E16</f>
        <v>71.070178341880336</v>
      </c>
      <c r="U10" s="52">
        <v>28618.05</v>
      </c>
      <c r="W10" s="52">
        <f>(C10*G1)/U10</f>
        <v>61.642859059682046</v>
      </c>
    </row>
    <row r="11" spans="1:23" ht="34">
      <c r="A11" s="117"/>
      <c r="B11" s="54" t="s">
        <v>43</v>
      </c>
      <c r="C11" s="58">
        <v>50</v>
      </c>
      <c r="D11" s="52">
        <f>G11</f>
        <v>54.418732404037627</v>
      </c>
      <c r="E11" s="52">
        <f>((D11*100)/D30)</f>
        <v>37.511666666666663</v>
      </c>
      <c r="F11" s="52" t="s">
        <v>73</v>
      </c>
      <c r="G11" s="52">
        <f>((C11*100)/C14)</f>
        <v>54.418732404037627</v>
      </c>
      <c r="H11" s="52">
        <f>(U11*C11)/W11</f>
        <v>17683.931245020834</v>
      </c>
      <c r="J11" s="53">
        <f t="shared" si="0"/>
        <v>53.504160400730285</v>
      </c>
      <c r="K11" s="52">
        <f t="shared" si="1"/>
        <v>53.504160400730285</v>
      </c>
      <c r="L11" s="52">
        <f>((H11*100)/H31)</f>
        <v>41.457200330733805</v>
      </c>
      <c r="M11" s="53">
        <f>0.5+(L11/100)</f>
        <v>0.91457200330733812</v>
      </c>
      <c r="O11" s="117"/>
      <c r="P11" s="54" t="s">
        <v>49</v>
      </c>
      <c r="Q11" s="52">
        <f t="shared" si="5"/>
        <v>20.747311754882428</v>
      </c>
      <c r="R11" s="52">
        <f t="shared" si="6"/>
        <v>21.9202276</v>
      </c>
      <c r="U11" s="52">
        <v>18426.38</v>
      </c>
      <c r="W11" s="52">
        <f>(C11*G1)/U11</f>
        <v>52.099218620260729</v>
      </c>
    </row>
    <row r="12" spans="1:23" ht="51">
      <c r="A12" s="117"/>
      <c r="B12" s="54" t="s">
        <v>44</v>
      </c>
      <c r="C12" s="58">
        <f>'Inputs New City'!D204</f>
        <v>91.880126182965299</v>
      </c>
      <c r="D12" s="52">
        <f>G12</f>
        <v>100</v>
      </c>
      <c r="E12" s="52">
        <f>((D12*100)/D30)</f>
        <v>68.931533333333334</v>
      </c>
      <c r="F12" s="52" t="s">
        <v>73</v>
      </c>
      <c r="G12" s="52">
        <f>((C12*100)/C14)</f>
        <v>100</v>
      </c>
      <c r="H12" s="52">
        <f>(U12*C12)/W12</f>
        <v>34955.046761255209</v>
      </c>
      <c r="J12" s="53">
        <f t="shared" si="0"/>
        <v>98.68053381000361</v>
      </c>
      <c r="K12" s="52">
        <f t="shared" si="1"/>
        <v>98.68053381000361</v>
      </c>
      <c r="L12" s="52">
        <f>((H12*100)/H31)</f>
        <v>81.946618999638488</v>
      </c>
      <c r="M12" s="53">
        <f>0.5+(L12/100)</f>
        <v>1.3194661899963849</v>
      </c>
      <c r="O12" s="117"/>
      <c r="P12" s="54" t="s">
        <v>50</v>
      </c>
      <c r="Q12" s="52">
        <f t="shared" si="5"/>
        <v>9.9442609197852168</v>
      </c>
      <c r="R12" s="52">
        <f t="shared" si="6"/>
        <v>10.9601138</v>
      </c>
      <c r="U12" s="52">
        <v>25906.31</v>
      </c>
      <c r="W12" s="52">
        <f>(C12*G1)/U12</f>
        <v>68.095318195178464</v>
      </c>
    </row>
    <row r="13" spans="1:23" ht="34">
      <c r="A13" s="117"/>
      <c r="B13" s="54" t="s">
        <v>45</v>
      </c>
      <c r="C13" s="52">
        <v>50</v>
      </c>
      <c r="D13" s="52">
        <f>G13</f>
        <v>54.418732404037627</v>
      </c>
      <c r="E13" s="52">
        <f>((D13*100)/D30)</f>
        <v>37.511666666666663</v>
      </c>
      <c r="F13" s="52" t="s">
        <v>73</v>
      </c>
      <c r="G13" s="52">
        <f>((C13*100)/C14)</f>
        <v>54.418732404037627</v>
      </c>
      <c r="H13" s="52">
        <f>(U13*C13)/W13</f>
        <v>21593.582850130213</v>
      </c>
      <c r="J13" s="53">
        <f t="shared" si="0"/>
        <v>53.412504757213789</v>
      </c>
      <c r="K13" s="52">
        <f t="shared" si="1"/>
        <v>53.412504757213789</v>
      </c>
      <c r="L13" s="52">
        <f>((H13*100)/H31)</f>
        <v>50.622764682383917</v>
      </c>
      <c r="M13" s="53">
        <f>0.5+(L13/100)</f>
        <v>1.0062276468238391</v>
      </c>
      <c r="O13" s="117"/>
      <c r="P13" s="54" t="s">
        <v>51</v>
      </c>
      <c r="Q13" s="52">
        <f t="shared" si="5"/>
        <v>7.607091106750878</v>
      </c>
      <c r="R13" s="52">
        <f t="shared" si="6"/>
        <v>8.6979852786540484</v>
      </c>
      <c r="U13" s="52">
        <v>20361.650000000001</v>
      </c>
      <c r="W13" s="52">
        <f>(C13*G1)/U13</f>
        <v>47.147456124626437</v>
      </c>
    </row>
    <row r="14" spans="1:23" ht="51">
      <c r="A14" s="59"/>
      <c r="B14" s="56" t="s">
        <v>118</v>
      </c>
      <c r="C14" s="57">
        <f>MAX(C10:C13)</f>
        <v>91.880126182965299</v>
      </c>
      <c r="D14" s="57"/>
      <c r="E14" s="57"/>
      <c r="J14" s="53">
        <f t="shared" si="0"/>
        <v>0</v>
      </c>
      <c r="K14" s="52"/>
      <c r="O14" s="117"/>
      <c r="P14" s="54" t="s">
        <v>52</v>
      </c>
      <c r="Q14" s="52">
        <f t="shared" si="5"/>
        <v>73.175697385346396</v>
      </c>
      <c r="R14" s="52">
        <f t="shared" si="6"/>
        <v>74.313411724500511</v>
      </c>
    </row>
    <row r="15" spans="1:23" ht="17">
      <c r="A15" s="117" t="s">
        <v>46</v>
      </c>
      <c r="B15" s="54" t="s">
        <v>47</v>
      </c>
      <c r="C15" s="52">
        <f>'Inputs New City'!D27</f>
        <v>145.07148639277816</v>
      </c>
      <c r="D15" s="52">
        <f>C15</f>
        <v>145.07148639277816</v>
      </c>
      <c r="E15" s="52">
        <f>((D15*100)/D30)</f>
        <v>100</v>
      </c>
      <c r="F15" s="52" t="s">
        <v>60</v>
      </c>
      <c r="G15" s="52">
        <f>((C15*100)/C22)</f>
        <v>100</v>
      </c>
      <c r="H15" s="52">
        <f>(U15*C15)/W15</f>
        <v>5951.8372423138962</v>
      </c>
      <c r="J15" s="53">
        <f t="shared" si="0"/>
        <v>99.360468520561568</v>
      </c>
      <c r="K15" s="52">
        <f t="shared" si="1"/>
        <v>99.360468520561568</v>
      </c>
      <c r="L15" s="52">
        <f>((H15*100)/H31)</f>
        <v>13.953147943843339</v>
      </c>
      <c r="M15" s="53">
        <f t="shared" ref="M15:M21" si="7">0.5+(L15/100)</f>
        <v>0.63953147943843336</v>
      </c>
      <c r="O15" s="117"/>
      <c r="P15" s="54" t="s">
        <v>53</v>
      </c>
      <c r="Q15" s="52">
        <f t="shared" si="5"/>
        <v>86.304302744458383</v>
      </c>
      <c r="R15" s="52">
        <f t="shared" si="6"/>
        <v>87.236443352260792</v>
      </c>
      <c r="U15" s="52">
        <v>10833.04</v>
      </c>
      <c r="W15" s="52">
        <f>(C15*U2)/U15</f>
        <v>264.04707504089009</v>
      </c>
    </row>
    <row r="16" spans="1:23" ht="34">
      <c r="A16" s="117"/>
      <c r="B16" s="54" t="s">
        <v>48</v>
      </c>
      <c r="C16" s="52">
        <f>'Inputs New City'!D28</f>
        <v>103.1025641025641</v>
      </c>
      <c r="D16" s="52">
        <f t="shared" ref="D16:D21" si="8">C16</f>
        <v>103.1025641025641</v>
      </c>
      <c r="E16" s="52">
        <f>((D16*100)/D30)</f>
        <v>71.070178341880336</v>
      </c>
      <c r="F16" s="52" t="s">
        <v>60</v>
      </c>
      <c r="G16" s="52">
        <f>((C16*100)/C22)</f>
        <v>71.070178341880336</v>
      </c>
      <c r="H16" s="52">
        <f>(U16*C16)/W16</f>
        <v>28587.99260375521</v>
      </c>
      <c r="J16" s="53">
        <f t="shared" si="0"/>
        <v>69.899977739985829</v>
      </c>
      <c r="K16" s="52">
        <f t="shared" si="1"/>
        <v>69.899977739985829</v>
      </c>
      <c r="L16" s="52">
        <f>((H16*100)/H31)</f>
        <v>67.020060189451371</v>
      </c>
      <c r="M16" s="53">
        <f t="shared" si="7"/>
        <v>1.1702006018945137</v>
      </c>
      <c r="O16" s="117" t="s">
        <v>54</v>
      </c>
      <c r="P16" s="54" t="s">
        <v>55</v>
      </c>
      <c r="Q16" s="52">
        <f>J23</f>
        <v>1.7573011172985642</v>
      </c>
      <c r="R16" s="52">
        <f>E23</f>
        <v>2.7638229476269522</v>
      </c>
      <c r="U16" s="52">
        <v>23428.39</v>
      </c>
      <c r="W16" s="52">
        <f>(C16*G1)/U16</f>
        <v>84.4944629472717</v>
      </c>
    </row>
    <row r="17" spans="1:23" ht="17">
      <c r="A17" s="117"/>
      <c r="B17" s="54" t="s">
        <v>49</v>
      </c>
      <c r="C17" s="52">
        <f>'Inputs New City'!D29</f>
        <v>31.8</v>
      </c>
      <c r="D17" s="52">
        <f t="shared" si="8"/>
        <v>31.8</v>
      </c>
      <c r="E17" s="52">
        <f>((D17*100)/D30)</f>
        <v>21.9202276</v>
      </c>
      <c r="F17" s="52" t="s">
        <v>60</v>
      </c>
      <c r="G17" s="52">
        <f>((C17*100)/C22)</f>
        <v>21.9202276</v>
      </c>
      <c r="H17" s="52">
        <f>(U17*C17)/W17</f>
        <v>28703.813677264745</v>
      </c>
      <c r="J17" s="53">
        <f t="shared" si="0"/>
        <v>20.747311754882428</v>
      </c>
      <c r="K17" s="52">
        <f t="shared" si="1"/>
        <v>20.747311754882428</v>
      </c>
      <c r="L17" s="52">
        <f>((H17*100)/H31)</f>
        <v>67.291584511757108</v>
      </c>
      <c r="M17" s="53">
        <f t="shared" si="7"/>
        <v>1.1729158451175712</v>
      </c>
      <c r="O17" s="117"/>
      <c r="P17" s="54" t="s">
        <v>23</v>
      </c>
      <c r="Q17" s="52">
        <f t="shared" ref="Q17:Q22" si="9">J24</f>
        <v>57.642386544801248</v>
      </c>
      <c r="R17" s="52">
        <f t="shared" ref="R17:R22" si="10">E24</f>
        <v>56.147281041840017</v>
      </c>
      <c r="U17" s="52">
        <v>23790.01</v>
      </c>
      <c r="W17" s="52">
        <f>(C17*U2)/U17</f>
        <v>26.356160421958634</v>
      </c>
    </row>
    <row r="18" spans="1:23" ht="34">
      <c r="A18" s="117"/>
      <c r="B18" s="54" t="s">
        <v>50</v>
      </c>
      <c r="C18" s="52">
        <f>(('Inputs New City'!D30)+('Inputs New City'!D29))/2</f>
        <v>15.9</v>
      </c>
      <c r="D18" s="52">
        <f t="shared" si="8"/>
        <v>15.9</v>
      </c>
      <c r="E18" s="52">
        <f>((D18*100)/D30)</f>
        <v>10.9601138</v>
      </c>
      <c r="F18" s="52" t="s">
        <v>60</v>
      </c>
      <c r="G18" s="52">
        <f>((C18*100)/C22)</f>
        <v>10.9601138</v>
      </c>
      <c r="H18" s="52">
        <f>IF(C18=0,0.001,IF(C18&lt;0,0.001,(U18*C18)/W18))</f>
        <v>22004.155595382752</v>
      </c>
      <c r="J18" s="53">
        <f>IF(G18&lt;0.01,0,K18)</f>
        <v>9.9442609197852168</v>
      </c>
      <c r="K18" s="52">
        <f t="shared" si="1"/>
        <v>9.9442609197852168</v>
      </c>
      <c r="L18" s="52">
        <f>((H18*100)/H31)</f>
        <v>51.585288021478341</v>
      </c>
      <c r="M18" s="53">
        <f t="shared" si="7"/>
        <v>1.0158528802147835</v>
      </c>
      <c r="O18" s="117"/>
      <c r="P18" s="54" t="s">
        <v>56</v>
      </c>
      <c r="Q18" s="52">
        <f t="shared" si="9"/>
        <v>60.050307378492121</v>
      </c>
      <c r="R18" s="52">
        <f t="shared" si="10"/>
        <v>58.577926120869073</v>
      </c>
      <c r="U18" s="52">
        <v>20829.419999999998</v>
      </c>
      <c r="W18" s="52">
        <f>(C18*U2)/U18</f>
        <v>15.051146887431338</v>
      </c>
    </row>
    <row r="19" spans="1:23" ht="34">
      <c r="A19" s="117"/>
      <c r="B19" s="54" t="s">
        <v>51</v>
      </c>
      <c r="C19" s="52">
        <f>'Inputs New City'!D31</f>
        <v>12.618296529968454</v>
      </c>
      <c r="D19" s="52">
        <f t="shared" si="8"/>
        <v>12.618296529968454</v>
      </c>
      <c r="E19" s="52">
        <f>((D19*100)/D30)</f>
        <v>8.6979852786540484</v>
      </c>
      <c r="F19" s="52" t="s">
        <v>60</v>
      </c>
      <c r="G19" s="52">
        <f>((C19*100)/C22)</f>
        <v>8.6979852786540484</v>
      </c>
      <c r="H19" s="52">
        <f>(U19*C19)/W19</f>
        <v>25205.107497991616</v>
      </c>
      <c r="J19" s="53">
        <f t="shared" ref="J19:J29" si="11">IF(G19&lt;0.01,0,K19)</f>
        <v>7.607091106750878</v>
      </c>
      <c r="K19" s="52">
        <f t="shared" si="1"/>
        <v>7.607091106750878</v>
      </c>
      <c r="L19" s="52">
        <f>((H19*100)/H31)</f>
        <v>59.089417190317064</v>
      </c>
      <c r="M19" s="53">
        <f t="shared" si="7"/>
        <v>1.0908941719031706</v>
      </c>
      <c r="O19" s="117"/>
      <c r="P19" s="54" t="s">
        <v>57</v>
      </c>
      <c r="Q19" s="52">
        <f t="shared" si="9"/>
        <v>98.653263593089733</v>
      </c>
      <c r="R19" s="52">
        <f t="shared" si="10"/>
        <v>95.697909589406962</v>
      </c>
      <c r="U19" s="52">
        <v>22293.03</v>
      </c>
      <c r="W19" s="52">
        <f>(C19*U2)/U19</f>
        <v>11.160438935398195</v>
      </c>
    </row>
    <row r="20" spans="1:23" ht="51">
      <c r="A20" s="117"/>
      <c r="B20" s="54" t="s">
        <v>52</v>
      </c>
      <c r="C20" s="52">
        <f>'Inputs New City'!D32</f>
        <v>107.80757097791798</v>
      </c>
      <c r="D20" s="52">
        <f t="shared" si="8"/>
        <v>107.80757097791798</v>
      </c>
      <c r="E20" s="52">
        <f>((D20*100)/D30)</f>
        <v>74.313411724500511</v>
      </c>
      <c r="F20" s="52" t="s">
        <v>60</v>
      </c>
      <c r="G20" s="52">
        <f>((C20*100)/C22)</f>
        <v>74.313411724500511</v>
      </c>
      <c r="H20" s="52">
        <f>(U20*C20)/W20</f>
        <v>27202.262665105685</v>
      </c>
      <c r="J20" s="53">
        <f t="shared" si="11"/>
        <v>73.175697385346396</v>
      </c>
      <c r="K20" s="52">
        <f t="shared" si="1"/>
        <v>73.175697385346396</v>
      </c>
      <c r="L20" s="52">
        <f>((H20*100)/H31)</f>
        <v>63.771433915411528</v>
      </c>
      <c r="M20" s="53">
        <f t="shared" si="7"/>
        <v>1.1377143391541154</v>
      </c>
      <c r="O20" s="117"/>
      <c r="P20" s="54" t="s">
        <v>26</v>
      </c>
      <c r="Q20" s="52">
        <f t="shared" si="9"/>
        <v>32.564518919534535</v>
      </c>
      <c r="R20" s="52">
        <f t="shared" si="10"/>
        <v>32.543323946908416</v>
      </c>
      <c r="U20" s="52">
        <v>21664.5</v>
      </c>
      <c r="W20" s="52">
        <f>(C20*U3)/U20</f>
        <v>85.860398828041014</v>
      </c>
    </row>
    <row r="21" spans="1:23" ht="34">
      <c r="A21" s="117"/>
      <c r="B21" s="54" t="s">
        <v>53</v>
      </c>
      <c r="C21" s="52">
        <f>'Inputs New City'!D33</f>
        <v>126.55520504731862</v>
      </c>
      <c r="D21" s="52">
        <f t="shared" si="8"/>
        <v>126.55520504731862</v>
      </c>
      <c r="E21" s="52">
        <f>((D21*100)/D30)</f>
        <v>87.236443352260792</v>
      </c>
      <c r="F21" s="52" t="s">
        <v>60</v>
      </c>
      <c r="G21" s="52">
        <f>((C21*100)/C22)</f>
        <v>87.236443352260792</v>
      </c>
      <c r="H21" s="52">
        <f>(U21*C21)/W21</f>
        <v>18433.335429295952</v>
      </c>
      <c r="J21" s="53">
        <f t="shared" si="11"/>
        <v>86.304302744458383</v>
      </c>
      <c r="K21" s="52">
        <f t="shared" si="1"/>
        <v>86.304302744458383</v>
      </c>
      <c r="L21" s="52">
        <f>((H21*100)/H31)</f>
        <v>43.214060780241113</v>
      </c>
      <c r="M21" s="53">
        <f t="shared" si="7"/>
        <v>0.93214060780241115</v>
      </c>
      <c r="O21" s="117"/>
      <c r="P21" s="54" t="s">
        <v>11</v>
      </c>
      <c r="Q21" s="52">
        <f t="shared" si="9"/>
        <v>31.956628421432686</v>
      </c>
      <c r="R21" s="52">
        <f t="shared" si="10"/>
        <v>31.945015607624278</v>
      </c>
      <c r="U21" s="52">
        <v>19064.560000000001</v>
      </c>
      <c r="W21" s="52">
        <f>(C21*U2)/U21</f>
        <v>130.88891639775585</v>
      </c>
    </row>
    <row r="22" spans="1:23" ht="17">
      <c r="A22" s="59"/>
      <c r="B22" s="56" t="s">
        <v>118</v>
      </c>
      <c r="C22" s="57">
        <f>MAX(C15:C21)</f>
        <v>145.07148639277816</v>
      </c>
      <c r="D22" s="57"/>
      <c r="J22" s="53">
        <f t="shared" si="11"/>
        <v>0</v>
      </c>
      <c r="K22" s="52"/>
      <c r="O22" s="117"/>
      <c r="P22" s="54" t="s">
        <v>114</v>
      </c>
      <c r="Q22" s="52">
        <f t="shared" si="9"/>
        <v>20.207681651430182</v>
      </c>
      <c r="R22" s="52">
        <f t="shared" si="10"/>
        <v>20.594547522821834</v>
      </c>
    </row>
    <row r="23" spans="1:23" ht="17">
      <c r="A23" s="117" t="s">
        <v>54</v>
      </c>
      <c r="B23" s="54" t="s">
        <v>55</v>
      </c>
      <c r="C23" s="52">
        <f>'Inputs New City'!D101</f>
        <v>4.0095190313871143</v>
      </c>
      <c r="D23" s="52">
        <f t="shared" ref="D23:D29" si="12">C23</f>
        <v>4.0095190313871143</v>
      </c>
      <c r="E23" s="52">
        <f>((D23*100)/D30)</f>
        <v>2.7638229476269522</v>
      </c>
      <c r="G23" s="52">
        <f>((C23*100)/C30)</f>
        <v>2.8880703449899463</v>
      </c>
      <c r="H23" s="52">
        <f>(U24*C23)/W23</f>
        <v>26906.012863825857</v>
      </c>
      <c r="J23" s="53">
        <f t="shared" si="11"/>
        <v>1.7573011172985642</v>
      </c>
      <c r="K23" s="52">
        <f t="shared" si="1"/>
        <v>1.7573011172985642</v>
      </c>
      <c r="L23" s="52">
        <f>((H23*100)/H31)</f>
        <v>63.076922769138214</v>
      </c>
      <c r="M23" s="53">
        <f t="shared" ref="M23:M29" si="13">0.5+(L23/100)</f>
        <v>1.1307692276913821</v>
      </c>
      <c r="U23" s="52">
        <v>24840.13</v>
      </c>
      <c r="W23" s="52">
        <f>(C23*U2)/U23</f>
        <v>3.1826439937903825</v>
      </c>
    </row>
    <row r="24" spans="1:23" ht="17">
      <c r="A24" s="117"/>
      <c r="B24" s="54" t="s">
        <v>23</v>
      </c>
      <c r="C24" s="52">
        <f>'Inputs New City'!D102</f>
        <v>81.453695176527845</v>
      </c>
      <c r="D24" s="52">
        <f t="shared" si="12"/>
        <v>81.453695176527845</v>
      </c>
      <c r="E24" s="52">
        <f>((D24*100)/D30)</f>
        <v>56.147281041840017</v>
      </c>
      <c r="G24" s="52">
        <f>((C24*100)/C30)</f>
        <v>58.671376713180678</v>
      </c>
      <c r="H24" s="52">
        <f>(U25*C24)/W24</f>
        <v>22564.538107458389</v>
      </c>
      <c r="J24" s="53">
        <f t="shared" si="11"/>
        <v>57.642386544801248</v>
      </c>
      <c r="K24" s="52">
        <f t="shared" si="1"/>
        <v>57.642386544801248</v>
      </c>
      <c r="L24" s="52">
        <f>((H24*100)/H31)</f>
        <v>52.899016837942781</v>
      </c>
      <c r="M24" s="53">
        <f t="shared" si="13"/>
        <v>1.0289901683794278</v>
      </c>
      <c r="U24" s="52">
        <v>21357.24</v>
      </c>
      <c r="W24" s="52">
        <f>(C24*U2)/U24</f>
        <v>75.199561800760307</v>
      </c>
    </row>
    <row r="25" spans="1:23" ht="34">
      <c r="A25" s="117"/>
      <c r="B25" s="54" t="s">
        <v>56</v>
      </c>
      <c r="C25" s="52">
        <f>'Inputs New City'!D103</f>
        <v>84.97986812160822</v>
      </c>
      <c r="D25" s="52">
        <f t="shared" si="12"/>
        <v>84.97986812160822</v>
      </c>
      <c r="E25" s="52">
        <f>((D25*100)/D30)</f>
        <v>58.577926120869073</v>
      </c>
      <c r="G25" s="52">
        <f>((C25*100)/C30)</f>
        <v>61.21129121022431</v>
      </c>
      <c r="H25" s="52">
        <f>(U26*C25)/W25</f>
        <v>28194.843214622615</v>
      </c>
      <c r="J25" s="53">
        <f t="shared" si="11"/>
        <v>60.050307378492121</v>
      </c>
      <c r="K25" s="52">
        <f t="shared" si="1"/>
        <v>60.050307378492121</v>
      </c>
      <c r="L25" s="52">
        <f>((H25*100)/H31)</f>
        <v>66.098383173218636</v>
      </c>
      <c r="M25" s="53">
        <f t="shared" si="13"/>
        <v>1.1609838317321863</v>
      </c>
      <c r="U25" s="52">
        <v>20832</v>
      </c>
      <c r="W25" s="52">
        <f>(C25*U2)/U25</f>
        <v>80.433086199164649</v>
      </c>
    </row>
    <row r="26" spans="1:23" ht="17">
      <c r="A26" s="117"/>
      <c r="B26" s="54" t="s">
        <v>57</v>
      </c>
      <c r="C26" s="52">
        <f>'Inputs New City'!D104</f>
        <v>138.83037988816966</v>
      </c>
      <c r="D26" s="52">
        <f t="shared" si="12"/>
        <v>138.83037988816966</v>
      </c>
      <c r="E26" s="52">
        <f>((D26*100)/D30)</f>
        <v>95.697909589406962</v>
      </c>
      <c r="G26" s="52">
        <f>((C26*100)/C30)</f>
        <v>100</v>
      </c>
      <c r="H26" s="52">
        <f>(U26*C26)/W26</f>
        <v>36118.281704991525</v>
      </c>
      <c r="J26" s="53">
        <f t="shared" si="11"/>
        <v>98.653263593089733</v>
      </c>
      <c r="K26" s="52">
        <f t="shared" si="1"/>
        <v>98.653263593089733</v>
      </c>
      <c r="L26" s="52">
        <f>((H26*100)/H31)</f>
        <v>84.67364069102652</v>
      </c>
      <c r="M26" s="53">
        <f t="shared" si="13"/>
        <v>1.3467364069102652</v>
      </c>
      <c r="U26" s="52">
        <v>26686.3</v>
      </c>
      <c r="W26" s="52">
        <f>(C26*U2)/U26</f>
        <v>102.57600837909327</v>
      </c>
    </row>
    <row r="27" spans="1:23" ht="17">
      <c r="A27" s="117"/>
      <c r="B27" s="54" t="s">
        <v>26</v>
      </c>
      <c r="C27" s="52">
        <f>'Inputs New City'!D105</f>
        <v>47.211083771396957</v>
      </c>
      <c r="D27" s="52">
        <f t="shared" si="12"/>
        <v>47.211083771396957</v>
      </c>
      <c r="E27" s="52">
        <f>((D27*100)/D30)</f>
        <v>32.543323946908416</v>
      </c>
      <c r="G27" s="52">
        <f>((C27*100)/C30)</f>
        <v>34.006305975267324</v>
      </c>
      <c r="H27" s="52">
        <f>(U27*C27)/W27</f>
        <v>40172.750229548525</v>
      </c>
      <c r="J27" s="53">
        <f t="shared" si="11"/>
        <v>32.564518919534535</v>
      </c>
      <c r="K27" s="52">
        <f t="shared" si="1"/>
        <v>32.564518919534535</v>
      </c>
      <c r="L27" s="52">
        <f>((H27*100)/H31)</f>
        <v>94.178705573278961</v>
      </c>
      <c r="M27" s="53">
        <f t="shared" si="13"/>
        <v>1.4417870557327896</v>
      </c>
      <c r="U27" s="52">
        <v>28144.31</v>
      </c>
      <c r="W27" s="52">
        <f>(C27*U2)/U27</f>
        <v>33.075240542551668</v>
      </c>
    </row>
    <row r="28" spans="1:23" ht="17">
      <c r="A28" s="117"/>
      <c r="B28" s="54" t="s">
        <v>11</v>
      </c>
      <c r="C28" s="52">
        <f>'Inputs New City'!D106</f>
        <v>46.343108970385515</v>
      </c>
      <c r="D28" s="52">
        <f t="shared" si="12"/>
        <v>46.343108970385515</v>
      </c>
      <c r="E28" s="52">
        <f>((D28*100)/D30)</f>
        <v>31.945015607624278</v>
      </c>
      <c r="G28" s="52">
        <f>((C28*100)/C30)</f>
        <v>33.381100741578109</v>
      </c>
      <c r="H28" s="52">
        <f>(U27*C28)/W27</f>
        <v>39434.17504547914</v>
      </c>
      <c r="J28" s="53">
        <f t="shared" si="11"/>
        <v>31.956628421432686</v>
      </c>
      <c r="K28" s="52">
        <f t="shared" si="1"/>
        <v>31.956628421432686</v>
      </c>
      <c r="L28" s="52">
        <f>((H28*100)/H31)</f>
        <v>92.447232014542166</v>
      </c>
      <c r="M28" s="53">
        <f t="shared" si="13"/>
        <v>1.4244723201454217</v>
      </c>
      <c r="U28" s="52">
        <v>26144.31</v>
      </c>
      <c r="W28" s="52">
        <f>(C29*U2)/U28</f>
        <v>22.532365011137507</v>
      </c>
    </row>
    <row r="29" spans="1:23">
      <c r="B29" s="52" t="s">
        <v>114</v>
      </c>
      <c r="C29" s="52">
        <f>'Inputs New City'!D107</f>
        <v>29.876816207224707</v>
      </c>
      <c r="D29" s="52">
        <f t="shared" si="12"/>
        <v>29.876816207224707</v>
      </c>
      <c r="E29" s="52">
        <f>((D29*100)/D30)</f>
        <v>20.594547522821834</v>
      </c>
      <c r="G29" s="52">
        <f>((C29*100)/C30)</f>
        <v>21.520373445128516</v>
      </c>
      <c r="H29" s="52">
        <f>IF(C29=0,0.001,IF(C29&lt;0,0.001,(U28*C29)/W28))</f>
        <v>34666.078964574437</v>
      </c>
      <c r="J29" s="53">
        <f t="shared" si="11"/>
        <v>20.207681651430182</v>
      </c>
      <c r="K29" s="52">
        <f t="shared" si="1"/>
        <v>20.207681651430182</v>
      </c>
      <c r="L29" s="52">
        <f>((H29*100)/H31)</f>
        <v>81.26917936983341</v>
      </c>
      <c r="M29" s="53">
        <f t="shared" si="13"/>
        <v>1.3126917936983342</v>
      </c>
    </row>
    <row r="30" spans="1:23">
      <c r="B30" s="56" t="s">
        <v>118</v>
      </c>
      <c r="C30" s="57">
        <f>MAX(C23:C29)</f>
        <v>138.83037988816966</v>
      </c>
      <c r="D30" s="57">
        <f>MAX(D2:D29)</f>
        <v>145.07148639277816</v>
      </c>
      <c r="E30" s="57"/>
    </row>
    <row r="31" spans="1:23">
      <c r="G31" s="52" t="s">
        <v>116</v>
      </c>
      <c r="H31" s="52">
        <f>MAX(H2:H30)</f>
        <v>42655.874260546872</v>
      </c>
    </row>
    <row r="32" spans="1:23">
      <c r="G32" s="52" t="s">
        <v>117</v>
      </c>
      <c r="H32" s="52">
        <f>MIN(H2:H29)</f>
        <v>5951.8372423138962</v>
      </c>
    </row>
  </sheetData>
  <sheetProtection password="EF37" sheet="1" objects="1" scenarios="1"/>
  <mergeCells count="7">
    <mergeCell ref="A2:A8"/>
    <mergeCell ref="A10:A13"/>
    <mergeCell ref="A15:A21"/>
    <mergeCell ref="A23:A28"/>
    <mergeCell ref="O2:O8"/>
    <mergeCell ref="O9:O15"/>
    <mergeCell ref="O16:O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tabSelected="1" topLeftCell="A3" zoomScale="44" zoomScaleNormal="61" zoomScalePageLayoutView="61" workbookViewId="0">
      <selection activeCell="X47" sqref="X47"/>
    </sheetView>
  </sheetViews>
  <sheetFormatPr baseColWidth="10" defaultRowHeight="16"/>
  <cols>
    <col min="1" max="2" width="10.83203125" style="35"/>
    <col min="3" max="3" width="24" style="36" customWidth="1"/>
    <col min="4" max="4" width="33.6640625" style="35" customWidth="1"/>
    <col min="5" max="23" width="10.83203125" style="35"/>
    <col min="24" max="24" width="30.83203125" style="35" customWidth="1"/>
    <col min="25" max="25" width="70.33203125" style="35" customWidth="1"/>
    <col min="26" max="16384" width="10.83203125" style="35"/>
  </cols>
  <sheetData>
    <row r="1" spans="1:27">
      <c r="E1" s="37"/>
      <c r="F1" s="37"/>
    </row>
    <row r="2" spans="1:27">
      <c r="A2" s="38" t="s">
        <v>38</v>
      </c>
      <c r="B2" s="38" t="s">
        <v>39</v>
      </c>
      <c r="C2" s="39" t="str">
        <f>'Inputs New City'!B3</f>
        <v>Macdonnell RD</v>
      </c>
      <c r="D2" s="40" t="s">
        <v>246</v>
      </c>
      <c r="E2" s="41"/>
      <c r="F2" s="39" t="s">
        <v>133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17">
      <c r="A3" s="118" t="s">
        <v>40</v>
      </c>
      <c r="B3" s="42" t="s">
        <v>22</v>
      </c>
      <c r="C3" s="39">
        <f>'Outputs New City'!Q2</f>
        <v>75.007551663034008</v>
      </c>
      <c r="D3" s="40">
        <v>80</v>
      </c>
      <c r="E3" s="40"/>
      <c r="F3" s="39">
        <f>'Outputs New City'!R2</f>
        <v>52.283849996527771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34">
      <c r="A4" s="118"/>
      <c r="B4" s="42" t="s">
        <v>23</v>
      </c>
      <c r="C4" s="39">
        <f>'Outputs New City'!Q3</f>
        <v>88.353458274353756</v>
      </c>
      <c r="D4" s="40">
        <v>90</v>
      </c>
      <c r="E4" s="40"/>
      <c r="F4" s="39">
        <f>'Outputs New City'!R3</f>
        <v>61.524983684027767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34">
      <c r="A5" s="118"/>
      <c r="B5" s="42" t="s">
        <v>24</v>
      </c>
      <c r="C5" s="39">
        <f>'Outputs New City'!Q4</f>
        <v>98.830308806264824</v>
      </c>
      <c r="D5" s="40">
        <v>99</v>
      </c>
      <c r="E5" s="40"/>
      <c r="F5" s="39">
        <f>'Outputs New City'!R4</f>
        <v>24.979775840978593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34">
      <c r="A6" s="118"/>
      <c r="B6" s="42" t="s">
        <v>25</v>
      </c>
      <c r="C6" s="39">
        <f>'Outputs New City'!Q5</f>
        <v>37.607357951663289</v>
      </c>
      <c r="D6" s="40">
        <v>65</v>
      </c>
      <c r="E6" s="40"/>
      <c r="F6" s="39">
        <f>'Outputs New City'!R5</f>
        <v>9.618353488372092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7">
      <c r="A7" s="118"/>
      <c r="B7" s="42" t="s">
        <v>26</v>
      </c>
      <c r="C7" s="39">
        <f>'Outputs New City'!Q6</f>
        <v>94.335822901430035</v>
      </c>
      <c r="D7" s="40">
        <v>90</v>
      </c>
      <c r="E7" s="40"/>
      <c r="F7" s="39">
        <f>'Outputs New City'!R6</f>
        <v>76.107371188222913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7">
      <c r="A8" s="118"/>
      <c r="B8" s="42" t="s">
        <v>27</v>
      </c>
      <c r="C8" s="39">
        <f>'Outputs New City'!Q7</f>
        <v>44.716941030416166</v>
      </c>
      <c r="D8" s="40">
        <v>50</v>
      </c>
      <c r="E8" s="40"/>
      <c r="F8" s="39">
        <f>'Outputs New City'!R7</f>
        <v>36.241605327725196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7">
      <c r="A9" s="118"/>
      <c r="B9" s="42" t="s">
        <v>11</v>
      </c>
      <c r="C9" s="39">
        <f>'Outputs New City'!Q8</f>
        <v>99.073856136638994</v>
      </c>
      <c r="D9" s="40">
        <v>65</v>
      </c>
      <c r="E9" s="40"/>
      <c r="F9" s="39">
        <f>'Outputs New City'!R8</f>
        <v>79.731531720995434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34">
      <c r="A10" s="118" t="s">
        <v>46</v>
      </c>
      <c r="B10" s="42" t="s">
        <v>47</v>
      </c>
      <c r="C10" s="39">
        <f>'Outputs New City'!Q9</f>
        <v>99.360468520561568</v>
      </c>
      <c r="D10" s="40">
        <v>70</v>
      </c>
      <c r="E10" s="40"/>
      <c r="F10" s="39">
        <f>'Outputs New City'!R9</f>
        <v>100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51">
      <c r="A11" s="118"/>
      <c r="B11" s="42" t="s">
        <v>48</v>
      </c>
      <c r="C11" s="39">
        <f>'Outputs New City'!Q10</f>
        <v>69.899977739985829</v>
      </c>
      <c r="D11" s="40">
        <v>85</v>
      </c>
      <c r="E11" s="40"/>
      <c r="F11" s="39">
        <f>'Outputs New City'!R10</f>
        <v>71.070178341880336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2" t="s">
        <v>134</v>
      </c>
      <c r="X11" s="43">
        <f>'Inputs New City'!D217</f>
        <v>70.514998543383896</v>
      </c>
      <c r="Y11" s="43">
        <f>100-X11</f>
        <v>29.485001456616104</v>
      </c>
      <c r="Z11" s="40"/>
      <c r="AA11" s="40"/>
    </row>
    <row r="12" spans="1:27" ht="34">
      <c r="A12" s="118"/>
      <c r="B12" s="42" t="s">
        <v>49</v>
      </c>
      <c r="C12" s="39">
        <f>'Outputs New City'!Q11</f>
        <v>20.747311754882428</v>
      </c>
      <c r="D12" s="40">
        <v>65</v>
      </c>
      <c r="E12" s="40"/>
      <c r="F12" s="39">
        <f>'Outputs New City'!R11</f>
        <v>21.9202276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2" t="s">
        <v>135</v>
      </c>
      <c r="X12" s="43">
        <f>'Inputs New City'!D207</f>
        <v>60.842471892611179</v>
      </c>
      <c r="Y12" s="43">
        <f t="shared" ref="Y12:Y17" si="0">100-X12</f>
        <v>39.157528107388821</v>
      </c>
      <c r="Z12" s="40"/>
      <c r="AA12" s="40"/>
    </row>
    <row r="13" spans="1:27" ht="51">
      <c r="A13" s="118"/>
      <c r="B13" s="42" t="s">
        <v>50</v>
      </c>
      <c r="C13" s="39">
        <f>'Outputs New City'!Q12</f>
        <v>9.9442609197852168</v>
      </c>
      <c r="D13" s="40">
        <v>75</v>
      </c>
      <c r="E13" s="40"/>
      <c r="F13" s="39">
        <f>'Outputs New City'!R12</f>
        <v>10.9601138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2" t="s">
        <v>136</v>
      </c>
      <c r="X13" s="43">
        <f>'Inputs New City'!D243</f>
        <v>61.612224504235719</v>
      </c>
      <c r="Y13" s="43">
        <f t="shared" si="0"/>
        <v>38.387775495764281</v>
      </c>
      <c r="Z13" s="40"/>
      <c r="AA13" s="40"/>
    </row>
    <row r="14" spans="1:27" ht="51">
      <c r="A14" s="118"/>
      <c r="B14" s="42" t="s">
        <v>51</v>
      </c>
      <c r="C14" s="39">
        <f>'Outputs New City'!Q13</f>
        <v>7.607091106750878</v>
      </c>
      <c r="D14" s="40">
        <v>90</v>
      </c>
      <c r="E14" s="40"/>
      <c r="F14" s="39">
        <f>'Outputs New City'!R13</f>
        <v>8.6979852786540484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2" t="s">
        <v>137</v>
      </c>
      <c r="X14" s="43">
        <f>'Inputs New City'!D280</f>
        <v>61.397095762320234</v>
      </c>
      <c r="Y14" s="43">
        <f t="shared" si="0"/>
        <v>38.602904237679766</v>
      </c>
      <c r="Z14" s="40"/>
      <c r="AA14" s="40"/>
    </row>
    <row r="15" spans="1:27" ht="85">
      <c r="A15" s="118"/>
      <c r="B15" s="42" t="s">
        <v>52</v>
      </c>
      <c r="C15" s="39">
        <f>'Outputs New City'!Q14</f>
        <v>73.175697385346396</v>
      </c>
      <c r="D15" s="40">
        <v>40</v>
      </c>
      <c r="E15" s="40"/>
      <c r="F15" s="39">
        <f>'Outputs New City'!R14</f>
        <v>74.313411724500511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2" t="s">
        <v>138</v>
      </c>
      <c r="X15" s="43">
        <f>'Inputs New City'!D263</f>
        <v>47.328604222093205</v>
      </c>
      <c r="Y15" s="43">
        <f t="shared" si="0"/>
        <v>52.671395777906795</v>
      </c>
      <c r="Z15" s="40"/>
      <c r="AA15" s="40"/>
    </row>
    <row r="16" spans="1:27" ht="34">
      <c r="A16" s="118"/>
      <c r="B16" s="42" t="s">
        <v>53</v>
      </c>
      <c r="C16" s="39">
        <f>'Outputs New City'!Q15</f>
        <v>86.304302744458383</v>
      </c>
      <c r="D16" s="40">
        <v>70</v>
      </c>
      <c r="E16" s="40"/>
      <c r="F16" s="39">
        <f>'Outputs New City'!R15</f>
        <v>87.236443352260792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38" t="s">
        <v>244</v>
      </c>
      <c r="X16" s="44">
        <f>'Inputs New City'!D114</f>
        <v>41.778844631384437</v>
      </c>
      <c r="Y16" s="43">
        <f t="shared" si="0"/>
        <v>58.221155368615563</v>
      </c>
      <c r="Z16" s="40"/>
      <c r="AA16" s="40"/>
    </row>
    <row r="17" spans="1:27" ht="34">
      <c r="A17" s="118" t="s">
        <v>54</v>
      </c>
      <c r="B17" s="42" t="s">
        <v>55</v>
      </c>
      <c r="C17" s="39">
        <f>'Outputs New City'!Q16</f>
        <v>1.7573011172985642</v>
      </c>
      <c r="D17" s="40">
        <v>75</v>
      </c>
      <c r="E17" s="40"/>
      <c r="F17" s="39">
        <f>'Outputs New City'!R16</f>
        <v>2.7638229476269522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38" t="s">
        <v>245</v>
      </c>
      <c r="X17" s="44">
        <f>'Inputs New City'!D119</f>
        <v>74.884705882352947</v>
      </c>
      <c r="Y17" s="43">
        <f t="shared" si="0"/>
        <v>25.115294117647053</v>
      </c>
      <c r="Z17" s="40"/>
      <c r="AA17" s="40"/>
    </row>
    <row r="18" spans="1:27" ht="34">
      <c r="A18" s="118"/>
      <c r="B18" s="42" t="s">
        <v>23</v>
      </c>
      <c r="C18" s="39">
        <f>'Outputs New City'!Q17</f>
        <v>57.642386544801248</v>
      </c>
      <c r="D18" s="40">
        <v>55</v>
      </c>
      <c r="E18" s="40"/>
      <c r="F18" s="39">
        <f>'Outputs New City'!R17</f>
        <v>56.147281041840017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51">
      <c r="A19" s="118"/>
      <c r="B19" s="42" t="s">
        <v>56</v>
      </c>
      <c r="C19" s="39">
        <f>'Outputs New City'!Q18</f>
        <v>60.050307378492121</v>
      </c>
      <c r="D19" s="40">
        <v>46</v>
      </c>
      <c r="E19" s="40"/>
      <c r="F19" s="39">
        <f>'Outputs New City'!R18</f>
        <v>58.577926120869073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7">
      <c r="A20" s="118"/>
      <c r="B20" s="42" t="s">
        <v>57</v>
      </c>
      <c r="C20" s="39">
        <f>'Outputs New City'!Q19</f>
        <v>98.653263593089733</v>
      </c>
      <c r="D20" s="40">
        <v>90</v>
      </c>
      <c r="E20" s="40"/>
      <c r="F20" s="39">
        <f>'Outputs New City'!R19</f>
        <v>95.697909589406962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7">
      <c r="A21" s="118"/>
      <c r="B21" s="42" t="s">
        <v>26</v>
      </c>
      <c r="C21" s="39">
        <f>'Outputs New City'!Q20</f>
        <v>32.564518919534535</v>
      </c>
      <c r="D21" s="40">
        <v>85</v>
      </c>
      <c r="E21" s="40"/>
      <c r="F21" s="39">
        <f>'Outputs New City'!R20</f>
        <v>32.543323946908416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7">
      <c r="A22" s="118"/>
      <c r="B22" s="42" t="s">
        <v>11</v>
      </c>
      <c r="C22" s="39">
        <f>'Outputs New City'!Q21</f>
        <v>31.956628421432686</v>
      </c>
      <c r="D22" s="40">
        <v>75</v>
      </c>
      <c r="E22" s="40"/>
      <c r="F22" s="39">
        <f>'Outputs New City'!R21</f>
        <v>31.945015607624278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>
      <c r="A23" s="40"/>
      <c r="B23" s="42" t="s">
        <v>114</v>
      </c>
      <c r="C23" s="39">
        <v>76</v>
      </c>
      <c r="D23" s="40">
        <v>70</v>
      </c>
      <c r="E23" s="40"/>
      <c r="F23" s="39">
        <f>'Outputs New City'!R22</f>
        <v>20.594547522821834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>
      <c r="A24" s="40"/>
      <c r="B24" s="40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>
      <c r="A25" s="40"/>
      <c r="B25" s="40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>
      <c r="A26" s="40"/>
      <c r="B26" s="40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>
      <c r="A27" s="40"/>
      <c r="B27" s="40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>
      <c r="A28" s="40"/>
      <c r="B28" s="40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>
      <c r="A29" s="40"/>
      <c r="B29" s="40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>
      <c r="A30" s="40"/>
      <c r="B30" s="40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>
      <c r="A31" s="40"/>
      <c r="B31" s="40"/>
      <c r="C31" s="39"/>
      <c r="D31" s="42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>
      <c r="A32" s="40"/>
      <c r="B32" s="40"/>
      <c r="C32" s="39"/>
      <c r="D32" s="42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>
      <c r="A33" s="40"/>
      <c r="B33" s="40"/>
      <c r="C33" s="39"/>
      <c r="D33" s="42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>
      <c r="D34" s="45"/>
    </row>
    <row r="35" spans="1:27">
      <c r="D35" s="45"/>
    </row>
    <row r="36" spans="1:27">
      <c r="D36" s="45"/>
    </row>
    <row r="37" spans="1:27" ht="90" customHeight="1">
      <c r="D37" s="45"/>
      <c r="X37" s="107" t="s">
        <v>248</v>
      </c>
      <c r="Y37" s="108" t="str">
        <f>'Inputs New City'!F117</f>
        <v>Commuters out of the neighborhood to work</v>
      </c>
    </row>
    <row r="38" spans="1:27" ht="26">
      <c r="D38" s="45"/>
      <c r="I38" s="46"/>
      <c r="X38" s="107" t="s">
        <v>247</v>
      </c>
      <c r="Y38" s="108" t="str">
        <f>'Inputs New City'!F118</f>
        <v>Hong Kong 27000 P/km2</v>
      </c>
    </row>
    <row r="39" spans="1:27">
      <c r="D39" s="45"/>
      <c r="I39" s="46"/>
    </row>
    <row r="40" spans="1:27">
      <c r="D40" s="45"/>
      <c r="I40" s="46"/>
    </row>
    <row r="41" spans="1:27">
      <c r="D41" s="45"/>
      <c r="I41" s="46"/>
    </row>
    <row r="42" spans="1:27">
      <c r="D42" s="45"/>
    </row>
    <row r="43" spans="1:27">
      <c r="D43" s="45"/>
    </row>
    <row r="44" spans="1:27">
      <c r="D44" s="45"/>
    </row>
    <row r="45" spans="1:27">
      <c r="D45" s="45"/>
    </row>
    <row r="46" spans="1:27" ht="64" customHeight="1">
      <c r="B46" s="47"/>
    </row>
    <row r="47" spans="1:27" ht="36" customHeight="1"/>
    <row r="48" spans="1:27" ht="19">
      <c r="C48" s="101"/>
      <c r="D48" s="102"/>
    </row>
    <row r="49" spans="2:5">
      <c r="B49" s="48"/>
      <c r="D49" s="45"/>
      <c r="E49" s="48"/>
    </row>
    <row r="50" spans="2:5">
      <c r="B50" s="48"/>
      <c r="D50" s="45"/>
      <c r="E50" s="48"/>
    </row>
    <row r="51" spans="2:5">
      <c r="B51" s="47"/>
      <c r="D51" s="45"/>
      <c r="E51" s="48"/>
    </row>
    <row r="52" spans="2:5">
      <c r="B52" s="48"/>
      <c r="D52" s="45"/>
      <c r="E52" s="48"/>
    </row>
    <row r="53" spans="2:5">
      <c r="B53" s="48"/>
      <c r="D53" s="45"/>
      <c r="E53" s="48"/>
    </row>
    <row r="54" spans="2:5">
      <c r="B54" s="48"/>
      <c r="D54" s="45"/>
      <c r="E54" s="48"/>
    </row>
  </sheetData>
  <sheetProtection password="EF37" sheet="1" objects="1" scenarios="1" selectLockedCells="1"/>
  <mergeCells count="3">
    <mergeCell ref="A3:A9"/>
    <mergeCell ref="A10:A16"/>
    <mergeCell ref="A17:A2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New City</vt:lpstr>
      <vt:lpstr>Outputs New City</vt:lpstr>
      <vt:lpstr>Radar1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Tianlin Zheng</cp:lastModifiedBy>
  <dcterms:created xsi:type="dcterms:W3CDTF">2017-01-27T18:32:43Z</dcterms:created>
  <dcterms:modified xsi:type="dcterms:W3CDTF">2019-07-29T15:31:25Z</dcterms:modified>
</cp:coreProperties>
</file>