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45E424FE-F4BD-49D2-BD70-6A8346ED70A6}" xr6:coauthVersionLast="47" xr6:coauthVersionMax="47" xr10:uidLastSave="{00000000-0000-0000-0000-000000000000}"/>
  <bookViews>
    <workbookView xWindow="-110" yWindow="-110" windowWidth="19420" windowHeight="10420"/>
  </bookViews>
  <sheets>
    <sheet name="2010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</calcChain>
</file>

<file path=xl/sharedStrings.xml><?xml version="1.0" encoding="utf-8"?>
<sst xmlns="http://schemas.openxmlformats.org/spreadsheetml/2006/main" count="6167" uniqueCount="1658">
  <si>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</si>
  <si>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</si>
  <si>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</si>
  <si>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</si>
  <si>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</si>
  <si>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</si>
  <si>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</si>
  <si>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</si>
  <si>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</si>
  <si>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</si>
  <si>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</si>
  <si>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</si>
  <si>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</si>
  <si>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</si>
  <si>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</si>
  <si>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</si>
  <si>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</si>
  <si>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</si>
  <si>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</si>
  <si>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</si>
  <si>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</si>
  <si>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</si>
  <si>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</si>
  <si>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</si>
  <si>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</si>
  <si>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</si>
  <si>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</si>
  <si>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</si>
  <si>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</si>
  <si>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</si>
  <si>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</si>
  <si>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</si>
  <si>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</si>
  <si>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</si>
  <si>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4250 COOK ROAD</t>
  </si>
  <si>
    <t>601 EAST MAIN STREET-P.O. BOX 13</t>
  </si>
  <si>
    <t>ALLEN</t>
  </si>
  <si>
    <t>701 W STATE ST</t>
  </si>
  <si>
    <t>GARLAND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</si>
  <si>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</si>
  <si>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</si>
  <si>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</si>
  <si>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</si>
  <si>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</si>
  <si>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</si>
  <si>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</si>
  <si>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</si>
  <si>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</si>
  <si>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</si>
  <si>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</si>
  <si>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</si>
  <si>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804 CUMMINGS STREET</t>
  </si>
  <si>
    <t>ANAHUAC</t>
  </si>
  <si>
    <t>1139 HIGHWAY 90 NORTH</t>
  </si>
  <si>
    <t>ANDERSON</t>
  </si>
  <si>
    <t>405 NW 3RD ST</t>
  </si>
  <si>
    <t>ANDREWS</t>
  </si>
  <si>
    <t>1900 N DOWNING RD</t>
  </si>
  <si>
    <t>ANGLETON</t>
  </si>
  <si>
    <t>840 SIXTH STREET</t>
  </si>
  <si>
    <t>ANTHONY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</si>
  <si>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</si>
  <si>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</si>
  <si>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</si>
  <si>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</si>
  <si>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</si>
  <si>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</si>
  <si>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</si>
  <si>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</si>
  <si>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P.O. BOX 926</t>
  </si>
  <si>
    <t>ARCHER CITY</t>
  </si>
  <si>
    <t>2800 WEST ARKANSAS LANE</t>
  </si>
  <si>
    <t>ARLINGTON</t>
  </si>
  <si>
    <t>1203 W PIONEER PKWY</t>
  </si>
  <si>
    <t>105 SCHOOL STREET</t>
  </si>
  <si>
    <t>ARP</t>
  </si>
  <si>
    <t>104 HAWN ST</t>
  </si>
  <si>
    <t>ATHENS</t>
  </si>
  <si>
    <t>106 WEST MAIN STREET</t>
  </si>
  <si>
    <t>ATLANTA</t>
  </si>
  <si>
    <t>415 TISDELL LN</t>
  </si>
  <si>
    <t>AUBREY</t>
  </si>
  <si>
    <t>1111 W 6TH STREET</t>
  </si>
  <si>
    <t>AUSTIN</t>
  </si>
  <si>
    <t>207 REDFISH ST</t>
  </si>
  <si>
    <t>TIVOLI</t>
  </si>
  <si>
    <t>104 FM 55</t>
  </si>
  <si>
    <t>AVALON</t>
  </si>
  <si>
    <t>245 CONNER ST</t>
  </si>
  <si>
    <t>AVINGER</t>
  </si>
  <si>
    <t>308 OTTAWA</t>
  </si>
  <si>
    <t>AXTELL</t>
  </si>
  <si>
    <t>300 ROE ST</t>
  </si>
  <si>
    <t>AZLE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</si>
  <si>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</si>
  <si>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</si>
  <si>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</si>
  <si>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</si>
  <si>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</si>
  <si>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</si>
  <si>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</si>
  <si>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</si>
  <si>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</si>
  <si>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</si>
  <si>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</si>
  <si>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</si>
  <si>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</si>
  <si>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</si>
  <si>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</si>
  <si>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</si>
  <si>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</si>
  <si>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</si>
  <si>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</si>
  <si>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</si>
  <si>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</si>
  <si>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</si>
  <si>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518 MATHEWS STREET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</si>
  <si>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</si>
  <si>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</si>
  <si>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</si>
  <si>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</si>
  <si>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</si>
  <si>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</si>
  <si>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</si>
  <si>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</si>
  <si>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</si>
  <si>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2903 JENSEN DR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</si>
  <si>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</si>
  <si>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</si>
  <si>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</si>
  <si>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</si>
  <si>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</si>
  <si>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</si>
  <si>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</si>
  <si>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</si>
  <si>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</si>
  <si>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</si>
  <si>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307 W CYPRESS STREET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</si>
  <si>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</si>
  <si>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</si>
  <si>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</si>
  <si>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</si>
  <si>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</si>
  <si>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</si>
  <si>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</si>
  <si>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</si>
  <si>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</si>
  <si>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</si>
  <si>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</si>
  <si>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</si>
  <si>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</si>
  <si>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</si>
  <si>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</si>
  <si>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201 EAST 10TH STREET</t>
  </si>
  <si>
    <t>BONHAM</t>
  </si>
  <si>
    <t>MAIN AND MITCHELL RD</t>
  </si>
  <si>
    <t>BOOKER</t>
  </si>
  <si>
    <t>200 E 9TH ST</t>
  </si>
  <si>
    <t>BORGER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</si>
  <si>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</si>
  <si>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</si>
  <si>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</si>
  <si>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</si>
  <si>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</si>
  <si>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</si>
  <si>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</si>
  <si>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</si>
  <si>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</si>
  <si>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</si>
  <si>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P.O. BOX 819, 6815 GUYLER STREET</t>
  </si>
  <si>
    <t>WALLIS</t>
  </si>
  <si>
    <t>PO BOX 949</t>
  </si>
  <si>
    <t>NEMO</t>
  </si>
  <si>
    <t>1673 BRIARCREST STREET, SUITE 108-A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</si>
  <si>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</si>
  <si>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</si>
  <si>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</si>
  <si>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</si>
  <si>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</si>
  <si>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</si>
  <si>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</si>
  <si>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</si>
  <si>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</si>
  <si>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</si>
  <si>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</si>
  <si>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 BULLDOG PLZ., PO BOX 58</t>
  </si>
  <si>
    <t>BROADDUS</t>
  </si>
  <si>
    <t>410 EAGLE SPIRIT LANE</t>
  </si>
  <si>
    <t>BROCK</t>
  </si>
  <si>
    <t>100 VERNON STREET</t>
  </si>
  <si>
    <t>BROOKESMITH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</si>
  <si>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</si>
  <si>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</si>
  <si>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</si>
  <si>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</si>
  <si>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</si>
  <si>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</si>
  <si>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</si>
  <si>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</si>
  <si>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1 EAGLE DR</t>
  </si>
  <si>
    <t>EDDY</t>
  </si>
  <si>
    <t>101 N TEXAS AVENUE</t>
  </si>
  <si>
    <t>Bryan</t>
  </si>
  <si>
    <t>309 MCCLOUD STREET</t>
  </si>
  <si>
    <t>BRYSON</t>
  </si>
  <si>
    <t>708 CEDAR CREEK RD</t>
  </si>
  <si>
    <t>BUFFALO</t>
  </si>
  <si>
    <t>1426B SOUTH HOUSTON</t>
  </si>
  <si>
    <t>BULLARD</t>
  </si>
  <si>
    <t>HIGHWAY 62</t>
  </si>
  <si>
    <t>BUNA</t>
  </si>
  <si>
    <t>416 GLENDALE ST</t>
  </si>
  <si>
    <t>BURKBURNETT</t>
  </si>
  <si>
    <t>HIGHWAY 63 EAST</t>
  </si>
  <si>
    <t>BURKEVILLE</t>
  </si>
  <si>
    <t>1160 SW WILSHIRE BLVD</t>
  </si>
  <si>
    <t>BURLESON</t>
  </si>
  <si>
    <t>208 E BRIER LN</t>
  </si>
  <si>
    <t>BURNET</t>
  </si>
  <si>
    <t>7310 BISHOP FLORES</t>
  </si>
  <si>
    <t>EL PASO</t>
  </si>
  <si>
    <t>12500 CEDAR</t>
  </si>
  <si>
    <t>BURTON</t>
  </si>
  <si>
    <t>BLACKHAWK DRIVE</t>
  </si>
  <si>
    <t>BUSHLAND</t>
  </si>
  <si>
    <t>100 HARRISON STREET, PO BOX 286</t>
  </si>
  <si>
    <t>BYERS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</si>
  <si>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</si>
  <si>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</si>
  <si>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</si>
  <si>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</si>
  <si>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</si>
  <si>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</si>
  <si>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</si>
  <si>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</si>
  <si>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</si>
  <si>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</si>
  <si>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</si>
  <si>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</si>
  <si>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PO Box 7</t>
  </si>
  <si>
    <t>CALVERT</t>
  </si>
  <si>
    <t>20625 CLAY ROAD</t>
  </si>
  <si>
    <t>KATY</t>
  </si>
  <si>
    <t>304 E 12TH ST</t>
  </si>
  <si>
    <t>CAMERON</t>
  </si>
  <si>
    <t>800 HILLSIDE AVE</t>
  </si>
  <si>
    <t>CANADIAN</t>
  </si>
  <si>
    <t>508 16TH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</si>
  <si>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</si>
  <si>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</si>
  <si>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</si>
  <si>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</si>
  <si>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</si>
  <si>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</si>
  <si>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</si>
  <si>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</si>
  <si>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</si>
  <si>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</si>
  <si>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</si>
  <si>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2302 HOLLAND ST</t>
  </si>
  <si>
    <t>MARSHALL</t>
  </si>
  <si>
    <t>315 CHURCHILL RD</t>
  </si>
  <si>
    <t>FORT WORTH</t>
  </si>
  <si>
    <t>HIGHWAY 287</t>
  </si>
  <si>
    <t>CAYUGA</t>
  </si>
  <si>
    <t>270 S HIGHWAY 67</t>
  </si>
  <si>
    <t>CEDAR HILL</t>
  </si>
  <si>
    <t>205 S. COLORADO STREET</t>
  </si>
  <si>
    <t>CELINA</t>
  </si>
  <si>
    <t>404 MOSBY ST</t>
  </si>
  <si>
    <t>CENTER</t>
  </si>
  <si>
    <t>201 CHINA STREET</t>
  </si>
  <si>
    <t>CENTER POINT</t>
  </si>
  <si>
    <t>813 S COMMERCE</t>
  </si>
  <si>
    <t>CENTERVILLE</t>
  </si>
  <si>
    <t>10327 N STATE HWY 94</t>
  </si>
  <si>
    <t>GROVETON</t>
  </si>
  <si>
    <t>1403 N SAINT MARYS ST</t>
  </si>
  <si>
    <t>10317 US HIGHWAY 259 NORTH</t>
  </si>
  <si>
    <t>NACOGDOCHES</t>
  </si>
  <si>
    <t>US HIGHWAY 69</t>
  </si>
  <si>
    <t>POLLOK</t>
  </si>
  <si>
    <t>1403 SHELDON RD</t>
  </si>
  <si>
    <t>CHANNELVIEW</t>
  </si>
  <si>
    <t>916 GREENWOOD</t>
  </si>
  <si>
    <t>CHANNING</t>
  </si>
  <si>
    <t>11134 CR 2249</t>
  </si>
  <si>
    <t>TYLER</t>
  </si>
  <si>
    <t>FARM RD 1735</t>
  </si>
  <si>
    <t>MOUNT PLEASANT</t>
  </si>
  <si>
    <t>102 E HINDS AVE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</si>
  <si>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</si>
  <si>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</si>
  <si>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</si>
  <si>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</si>
  <si>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</si>
  <si>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</si>
  <si>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</si>
  <si>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</si>
  <si>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</si>
  <si>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</si>
  <si>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</si>
  <si>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</si>
  <si>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WACO</t>
  </si>
  <si>
    <t>PO BOX 85</t>
  </si>
  <si>
    <t>CHIRENO</t>
  </si>
  <si>
    <t>3250 S CHURCH ST</t>
  </si>
  <si>
    <t>PARIS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</si>
  <si>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</si>
  <si>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</si>
  <si>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</si>
  <si>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</si>
  <si>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</si>
  <si>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</si>
  <si>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</si>
  <si>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</si>
  <si>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</si>
  <si>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</si>
  <si>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</si>
  <si>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</si>
  <si>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</si>
  <si>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</si>
  <si>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</si>
  <si>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</si>
  <si>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</si>
  <si>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125 FM 1514</t>
  </si>
  <si>
    <t>COLDSPRING</t>
  </si>
  <si>
    <t>300 W PECAN ST</t>
  </si>
  <si>
    <t>COLEMAN</t>
  </si>
  <si>
    <t>1812 WELSH AVE</t>
  </si>
  <si>
    <t>COLLEGE STA</t>
  </si>
  <si>
    <t>CORNER OF WALNUT &amp; REEVES, P. O. BOX 49</t>
  </si>
  <si>
    <t>COLLINSVILLE</t>
  </si>
  <si>
    <t>520 S 16TH ST</t>
  </si>
  <si>
    <t>WEST COLUMBIA</t>
  </si>
  <si>
    <t>105 CARDINAL LN</t>
  </si>
  <si>
    <t>COLUMBUS</t>
  </si>
  <si>
    <t>1404 IH 35 NORTH</t>
  </si>
  <si>
    <t>NEW BRAUNFELS</t>
  </si>
  <si>
    <t>1414 NORTH AUSTIN</t>
  </si>
  <si>
    <t>COMANCHE</t>
  </si>
  <si>
    <t>PO BOX 398, 327 HIGH ST</t>
  </si>
  <si>
    <t>COMFORT</t>
  </si>
  <si>
    <t>604 CULVER ST</t>
  </si>
  <si>
    <t>COMMERCE</t>
  </si>
  <si>
    <t>615 1138 NORTH</t>
  </si>
  <si>
    <t>NEVADA</t>
  </si>
  <si>
    <t>HIGHWAY 11</t>
  </si>
  <si>
    <t>COMO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</si>
  <si>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</si>
  <si>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</si>
  <si>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</si>
  <si>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</si>
  <si>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</si>
  <si>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</si>
  <si>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</si>
  <si>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</si>
  <si>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</si>
  <si>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</si>
  <si>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</si>
  <si>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</si>
  <si>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</si>
  <si>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</si>
  <si>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</si>
  <si>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</si>
  <si>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</si>
  <si>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</si>
  <si>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P.O. BOX 67, 501 NORTH MAIN STREET</t>
  </si>
  <si>
    <t>COVINGTON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</si>
  <si>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</si>
  <si>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</si>
  <si>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</si>
  <si>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</si>
  <si>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</si>
  <si>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</si>
  <si>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</si>
  <si>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</si>
  <si>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</si>
  <si>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</si>
  <si>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</si>
  <si>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</si>
  <si>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</si>
  <si>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</si>
  <si>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700 NORTH MAIN ST</t>
  </si>
  <si>
    <t>CROSS PLAINS</t>
  </si>
  <si>
    <t>14434 FM 59</t>
  </si>
  <si>
    <t>MALAKOFF</t>
  </si>
  <si>
    <t>242 HARMONY ROAD, PO BOX 1327</t>
  </si>
  <si>
    <t>WEATHERFORD</t>
  </si>
  <si>
    <t>400 EAST LOGAN ST</t>
  </si>
  <si>
    <t>CROWELL</t>
  </si>
  <si>
    <t>PO BOX 688</t>
  </si>
  <si>
    <t>CROWLEY</t>
  </si>
  <si>
    <t>805 E CROCKETT ST</t>
  </si>
  <si>
    <t>CRYSTAL CITY</t>
  </si>
  <si>
    <t>405 PARK HEIGHTS DR</t>
  </si>
  <si>
    <t>CUERO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</si>
  <si>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</si>
  <si>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</si>
  <si>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</si>
  <si>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</si>
  <si>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</si>
  <si>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</si>
  <si>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</si>
  <si>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</si>
  <si>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</si>
  <si>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3700 ROSS AVE</t>
  </si>
  <si>
    <t>P.O. BOX 429</t>
  </si>
  <si>
    <t>DAMON</t>
  </si>
  <si>
    <t>5611 PANTHER DR</t>
  </si>
  <si>
    <t>DANBURY</t>
  </si>
  <si>
    <t>199 NORTH SCHOOL AVENUE</t>
  </si>
  <si>
    <t>DAWSON</t>
  </si>
  <si>
    <t>HIGHWAY 137</t>
  </si>
  <si>
    <t>WELCH</t>
  </si>
  <si>
    <t>100 CHERRY CREEK</t>
  </si>
  <si>
    <t>DAYTON</t>
  </si>
  <si>
    <t>425 SOUTH TEXAS STREET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</si>
  <si>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</si>
  <si>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</si>
  <si>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</si>
  <si>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</si>
  <si>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</si>
  <si>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</si>
  <si>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</si>
  <si>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</si>
  <si>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</si>
  <si>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</si>
  <si>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</si>
  <si>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</si>
  <si>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</si>
  <si>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</si>
  <si>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</si>
  <si>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HWY 90 AND CHISAM</t>
  </si>
  <si>
    <t>DEVERS</t>
  </si>
  <si>
    <t>205 W COLLEGE AVE</t>
  </si>
  <si>
    <t>DEVINE</t>
  </si>
  <si>
    <t>RR 2 BOX 60</t>
  </si>
  <si>
    <t>TEAGUE</t>
  </si>
  <si>
    <t>712 TEXAS STATE HIGHWAY 272</t>
  </si>
  <si>
    <t>DEWEYVILLE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</si>
  <si>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</si>
  <si>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</si>
  <si>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</si>
  <si>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</si>
  <si>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</si>
  <si>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</si>
  <si>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</si>
  <si>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</si>
  <si>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</si>
  <si>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</si>
  <si>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</si>
  <si>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</si>
  <si>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</si>
  <si>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</si>
  <si>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</si>
  <si>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</si>
  <si>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</si>
  <si>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</si>
  <si>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</si>
  <si>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</si>
  <si>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</si>
  <si>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</si>
  <si>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</si>
  <si>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</si>
  <si>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PO BOX 1409, 1420 EIDSON ROAD</t>
  </si>
  <si>
    <t>EAGLE PASS</t>
  </si>
  <si>
    <t>1200 OLD DECATUR RD</t>
  </si>
  <si>
    <t>SAGINAW</t>
  </si>
  <si>
    <t>723 COLLEGE STREET</t>
  </si>
  <si>
    <t>EAST BERNARD</t>
  </si>
  <si>
    <t>6634 NEW SULPHUR SPRINGS RD</t>
  </si>
  <si>
    <t>1955 STATE HIGHWAY 124</t>
  </si>
  <si>
    <t>WINNIE</t>
  </si>
  <si>
    <t>501 OAKLAND</t>
  </si>
  <si>
    <t>900 WEST PLUMMER ST</t>
  </si>
  <si>
    <t>EASTLAND</t>
  </si>
  <si>
    <t>802 NORTH SAM HOUSTON AVE</t>
  </si>
  <si>
    <t>ODESSA</t>
  </si>
  <si>
    <t>218 EAST MAIN STREET</t>
  </si>
  <si>
    <t>920 SANTA ROSA AVE,PO BOX 127</t>
  </si>
  <si>
    <t>EDCOUCH</t>
  </si>
  <si>
    <t>804 EAST PINE</t>
  </si>
  <si>
    <t>EDGEWOOD</t>
  </si>
  <si>
    <t>411 N 8TH AVENUE</t>
  </si>
  <si>
    <t>EDINBURG</t>
  </si>
  <si>
    <t>1307 W GAYLE ST</t>
  </si>
  <si>
    <t>EDNA</t>
  </si>
  <si>
    <t>1900 W SCHUNIOR ST</t>
  </si>
  <si>
    <t>1111 W LOOP 289</t>
  </si>
  <si>
    <t>LUBBOCK</t>
  </si>
  <si>
    <t>2101 W LOOP 340</t>
  </si>
  <si>
    <t>612 S IRENE ST</t>
  </si>
  <si>
    <t>SAN ANGELO</t>
  </si>
  <si>
    <t>700 W NORRIS ST</t>
  </si>
  <si>
    <t>EL CAMPO</t>
  </si>
  <si>
    <t>6531 Boeing Dr.</t>
  </si>
  <si>
    <t>El Paso</t>
  </si>
  <si>
    <t>621 N WAGGONER ST</t>
  </si>
  <si>
    <t>ELECTRA</t>
  </si>
  <si>
    <t>1002 N. AVENUE C</t>
  </si>
  <si>
    <t>ELGIN</t>
  </si>
  <si>
    <t>SHERIDAN DRIVE</t>
  </si>
  <si>
    <t>ELKHART</t>
  </si>
  <si>
    <t>303 W KNOX ST</t>
  </si>
  <si>
    <t>ENNIS</t>
  </si>
  <si>
    <t>16039 FARM RD 226</t>
  </si>
  <si>
    <t>ETOILE</t>
  </si>
  <si>
    <t>316 FM 316 SOUTH</t>
  </si>
  <si>
    <t>EUSTACE</t>
  </si>
  <si>
    <t>HWY 105 SOUTH</t>
  </si>
  <si>
    <t>EVADALE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</si>
  <si>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</si>
  <si>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</si>
  <si>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</si>
  <si>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</si>
  <si>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</si>
  <si>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</si>
  <si>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</si>
  <si>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</si>
  <si>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</si>
  <si>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</si>
  <si>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</si>
  <si>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705 6TH STREET</t>
  </si>
  <si>
    <t>FARWELL</t>
  </si>
  <si>
    <t>618 N RUSK ST</t>
  </si>
  <si>
    <t>FAYETTEVILLE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</si>
  <si>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</si>
  <si>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</si>
  <si>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</si>
  <si>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</si>
  <si>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</si>
  <si>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</si>
  <si>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</si>
  <si>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</si>
  <si>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</si>
  <si>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</si>
  <si>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</si>
  <si>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</si>
  <si>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</si>
  <si>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</si>
  <si>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</si>
  <si>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</si>
  <si>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</si>
  <si>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</si>
  <si>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</si>
  <si>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100 SCHOOL DRIVE</t>
  </si>
  <si>
    <t>FORT HANCOCK</t>
  </si>
  <si>
    <t>1902 WINANS RD</t>
  </si>
  <si>
    <t>101 W DIVISION ST</t>
  </si>
  <si>
    <t>FORT STOCKTON</t>
  </si>
  <si>
    <t>100 N. University Drive</t>
  </si>
  <si>
    <t>1216 W. FM 1644</t>
  </si>
  <si>
    <t>FRANKLIN</t>
  </si>
  <si>
    <t>PO BOX 428, 100 PERRY ST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</si>
  <si>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</si>
  <si>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</si>
  <si>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</si>
  <si>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</si>
  <si>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</si>
  <si>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</si>
  <si>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</si>
  <si>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</si>
  <si>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</si>
  <si>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</si>
  <si>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</si>
  <si>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</si>
  <si>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</si>
  <si>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</si>
  <si>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</si>
  <si>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</si>
  <si>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</si>
  <si>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</si>
  <si>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</si>
  <si>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</si>
  <si>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</si>
  <si>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</si>
  <si>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</si>
  <si>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</si>
  <si>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</si>
  <si>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2222 GARNER SCHOOL 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</si>
  <si>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</si>
  <si>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</si>
  <si>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</si>
  <si>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</si>
  <si>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</si>
  <si>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</si>
  <si>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</si>
  <si>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</si>
  <si>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</si>
  <si>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4129 GREENWOOD DRIVE</t>
  </si>
  <si>
    <t>913 HOUSTON</t>
  </si>
  <si>
    <t>GEORGE WEST</t>
  </si>
  <si>
    <t>603 LAKEWAY DR</t>
  </si>
  <si>
    <t>GEORGETOWN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</si>
  <si>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</si>
  <si>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</si>
  <si>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</si>
  <si>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</si>
  <si>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</si>
  <si>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</si>
  <si>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</si>
  <si>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</si>
  <si>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</si>
  <si>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</si>
  <si>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</si>
  <si>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</si>
  <si>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</si>
  <si>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</si>
  <si>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</si>
  <si>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</si>
  <si>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</si>
  <si>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</si>
  <si>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</si>
  <si>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</si>
  <si>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</si>
  <si>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</si>
  <si>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114 W LEXINGTON</t>
  </si>
  <si>
    <t>GORMAN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</si>
  <si>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</si>
  <si>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</si>
  <si>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</si>
  <si>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</si>
  <si>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</si>
  <si>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</si>
  <si>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</si>
  <si>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</si>
  <si>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</si>
  <si>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</si>
  <si>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108 AVE C</t>
  </si>
  <si>
    <t>GRANDFALLS</t>
  </si>
  <si>
    <t>1009 CAROLL LN</t>
  </si>
  <si>
    <t>GRANDVIEW</t>
  </si>
  <si>
    <t>300 N COLORADO  ST</t>
  </si>
  <si>
    <t>GRANGER</t>
  </si>
  <si>
    <t>116 WEST MYRTLE STREET</t>
  </si>
  <si>
    <t>GRAPELAND</t>
  </si>
  <si>
    <t>3051 W HIGHWAY 26</t>
  </si>
  <si>
    <t>4004 MOULTON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</si>
  <si>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</si>
  <si>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</si>
  <si>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</si>
  <si>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</si>
  <si>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</si>
  <si>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</si>
  <si>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</si>
  <si>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</si>
  <si>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</si>
  <si>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</si>
  <si>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</si>
  <si>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</si>
  <si>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</si>
  <si>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</si>
  <si>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</si>
  <si>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</si>
  <si>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</si>
  <si>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400 S COLLEGE ST</t>
  </si>
  <si>
    <t>HAMILTON</t>
  </si>
  <si>
    <t>12702 2ND STEET</t>
  </si>
  <si>
    <t>HAMSHIRE</t>
  </si>
  <si>
    <t>400 NW 3RD ST</t>
  </si>
  <si>
    <t>HAPPY</t>
  </si>
  <si>
    <t>520 W HERRING</t>
  </si>
  <si>
    <t>SOUR LAKE</t>
  </si>
  <si>
    <t>102 GENEVIEVE DR</t>
  </si>
  <si>
    <t>407 N 77 SUNSHINE STRIP</t>
  </si>
  <si>
    <t>HARLINGEN</t>
  </si>
  <si>
    <t>23122 W HWY 290, PO BOX 68</t>
  </si>
  <si>
    <t>HARPER</t>
  </si>
  <si>
    <t>6300 IRVINGTON BOULEVARD</t>
  </si>
  <si>
    <t>1200 CONGRESS ST SUITE 6500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</si>
  <si>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</si>
  <si>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</si>
  <si>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</si>
  <si>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</si>
  <si>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</si>
  <si>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</si>
  <si>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</si>
  <si>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</si>
  <si>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</si>
  <si>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</si>
  <si>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</si>
  <si>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</si>
  <si>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</si>
  <si>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</si>
  <si>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</si>
  <si>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</si>
  <si>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</si>
  <si>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</si>
  <si>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</si>
  <si>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</si>
  <si>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</si>
  <si>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</si>
  <si>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</si>
  <si>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</si>
  <si>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</si>
  <si>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</si>
  <si>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</si>
  <si>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</si>
  <si>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</si>
  <si>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PO BOX 18854</t>
  </si>
  <si>
    <t>3801 N FM 1912</t>
  </si>
  <si>
    <t>121 E. FRANKLIN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</si>
  <si>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</si>
  <si>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</si>
  <si>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</si>
  <si>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</si>
  <si>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</si>
  <si>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</si>
  <si>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</si>
  <si>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100 EAST 5TH. STREET</t>
  </si>
  <si>
    <t>HOOKS</t>
  </si>
  <si>
    <t>3400 EVERGREEN DRIVE</t>
  </si>
  <si>
    <t>4400 WEST 18TH. STREET,LEVEL 3 N.W.</t>
  </si>
  <si>
    <t>105 WEST TUT</t>
  </si>
  <si>
    <t>HOWE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</si>
  <si>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</si>
  <si>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</si>
  <si>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</si>
  <si>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</si>
  <si>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</si>
  <si>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</si>
  <si>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</si>
  <si>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</si>
  <si>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</si>
  <si>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</si>
  <si>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</si>
  <si>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</si>
  <si>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</si>
  <si>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</si>
  <si>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</si>
  <si>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</si>
  <si>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</si>
  <si>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</si>
  <si>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DRIVE</t>
  </si>
  <si>
    <t>BEDFORD</t>
  </si>
  <si>
    <t>302 COLLEGE STREET</t>
  </si>
  <si>
    <t>HUTTO</t>
  </si>
  <si>
    <t>601 S WALNUT ST</t>
  </si>
  <si>
    <t>IDALOU</t>
  </si>
  <si>
    <t>401 S 1ST ST</t>
  </si>
  <si>
    <t>P.O. BOX 369, 411 FIFTH STREET</t>
  </si>
  <si>
    <t>VANDERBILT</t>
  </si>
  <si>
    <t>4701 SOUTH SUGAR ROAD SUITE D.</t>
  </si>
  <si>
    <t>2087 MUSTANG DRIVE</t>
  </si>
  <si>
    <t>INGLESIDE</t>
  </si>
  <si>
    <t>510 COLLEGE STREET</t>
  </si>
  <si>
    <t>INGRAM</t>
  </si>
  <si>
    <t>7300 BRUTON ROAD</t>
  </si>
  <si>
    <t>HIGHWAY 39</t>
  </si>
  <si>
    <t>IOLA</t>
  </si>
  <si>
    <t>328 EAST HIGHWAY</t>
  </si>
  <si>
    <t>IOWA PARK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</si>
  <si>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</si>
  <si>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</si>
  <si>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</si>
  <si>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</si>
  <si>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</si>
  <si>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</si>
  <si>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</si>
  <si>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</si>
  <si>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TROUP HIGHWAY 135</t>
  </si>
  <si>
    <t>JACKSONVILLE</t>
  </si>
  <si>
    <t>5TH AVE EAST</t>
  </si>
  <si>
    <t>JARRELL</t>
  </si>
  <si>
    <t>945 VISADOR ROAD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</si>
  <si>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</si>
  <si>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</si>
  <si>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</si>
  <si>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</si>
  <si>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</si>
  <si>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</si>
  <si>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</si>
  <si>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3201 CHERRY RIDGE DRIVE, SUITE C315</t>
  </si>
  <si>
    <t>303 NORTH LBJ DRIVE</t>
  </si>
  <si>
    <t>JOHNSON CITY</t>
  </si>
  <si>
    <t>14909 EAST STATE HIGHWAY 36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</si>
  <si>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</si>
  <si>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</si>
  <si>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</si>
  <si>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</si>
  <si>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</si>
  <si>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</si>
  <si>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</si>
  <si>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FARM ROAD 134</t>
  </si>
  <si>
    <t>KARNACK</t>
  </si>
  <si>
    <t>314 NORTH HIGHWAY 123</t>
  </si>
  <si>
    <t>KARNES CITY</t>
  </si>
  <si>
    <t>6301 S STADIUM LN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</si>
  <si>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</si>
  <si>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</si>
  <si>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</si>
  <si>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</si>
  <si>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</si>
  <si>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</si>
  <si>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</si>
  <si>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</si>
  <si>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2601 FM 2919</t>
  </si>
  <si>
    <t>KENDLETON</t>
  </si>
  <si>
    <t>300 E. LAPPARA STREET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</si>
  <si>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</si>
  <si>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</si>
  <si>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</si>
  <si>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</si>
  <si>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</si>
  <si>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</si>
  <si>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</si>
  <si>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HIGHWAY 309 S</t>
  </si>
  <si>
    <t>KERENS</t>
  </si>
  <si>
    <t>1009 BARNETT ST</t>
  </si>
  <si>
    <t>KERRVILLE</t>
  </si>
  <si>
    <t>200 NORTH W. S. YOUNG DR</t>
  </si>
  <si>
    <t>KILLEEN</t>
  </si>
  <si>
    <t>207 N 3RD ST, PO BOX 871</t>
  </si>
  <si>
    <t>KINGSVILLE</t>
  </si>
  <si>
    <t>735 FREDERICKSBURG ROAD</t>
  </si>
  <si>
    <t>8509 FM 969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</si>
  <si>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</si>
  <si>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</si>
  <si>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</si>
  <si>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</si>
  <si>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</si>
  <si>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</si>
  <si>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</si>
  <si>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</si>
  <si>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</si>
  <si>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</si>
  <si>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</si>
  <si>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</si>
  <si>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</si>
  <si>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</si>
  <si>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809 E MCCART ST</t>
  </si>
  <si>
    <t>KRUM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</si>
  <si>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</si>
  <si>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</si>
  <si>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</si>
  <si>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</si>
  <si>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</si>
  <si>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</si>
  <si>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</si>
  <si>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1002 SAN JACINTO STREET</t>
  </si>
  <si>
    <t>LA PORTE</t>
  </si>
  <si>
    <t>13155 US HIGHWAY 175 E</t>
  </si>
  <si>
    <t>LARUE</t>
  </si>
  <si>
    <t>PO BOX 519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</si>
  <si>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</si>
  <si>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</si>
  <si>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</si>
  <si>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</si>
  <si>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</si>
  <si>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</si>
  <si>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</si>
  <si>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</si>
  <si>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</si>
  <si>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</si>
  <si>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</si>
  <si>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</si>
  <si>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</si>
  <si>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</si>
  <si>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</si>
  <si>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</si>
  <si>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</si>
  <si>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</si>
  <si>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</si>
  <si>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</si>
  <si>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</si>
  <si>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</si>
  <si>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</si>
  <si>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</si>
  <si>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</si>
  <si>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HIGHWAY 83</t>
  </si>
  <si>
    <t>306 WEST SOUTH</t>
  </si>
  <si>
    <t>LEANDER</t>
  </si>
  <si>
    <t>209 E 5TH</t>
  </si>
  <si>
    <t>LEFORS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</si>
  <si>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</si>
  <si>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</si>
  <si>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</si>
  <si>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</si>
  <si>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</si>
  <si>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</si>
  <si>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</si>
  <si>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</si>
  <si>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</si>
  <si>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</si>
  <si>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</si>
  <si>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</si>
  <si>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</si>
  <si>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</si>
  <si>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</si>
  <si>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</si>
  <si>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</si>
  <si>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</si>
  <si>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</si>
  <si>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</si>
  <si>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</si>
  <si>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</si>
  <si>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</si>
  <si>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</si>
  <si>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</si>
  <si>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</si>
  <si>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</si>
  <si>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</si>
  <si>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</si>
  <si>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</si>
  <si>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</si>
  <si>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</si>
  <si>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</si>
  <si>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</si>
  <si>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</si>
  <si>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</si>
  <si>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</si>
  <si>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</si>
  <si>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</si>
  <si>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</si>
  <si>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</si>
  <si>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</si>
  <si>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</si>
  <si>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</si>
  <si>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</si>
  <si>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</si>
  <si>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</si>
  <si>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</si>
  <si>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</si>
  <si>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</si>
  <si>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</si>
  <si>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</si>
  <si>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</si>
  <si>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</si>
  <si>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</si>
  <si>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1300 HARDAWAY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</si>
  <si>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</si>
  <si>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</si>
  <si>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</si>
  <si>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</si>
  <si>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</si>
  <si>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</si>
  <si>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</si>
  <si>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</si>
  <si>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101 COTTON SQUARE PO BOX 1407.</t>
  </si>
  <si>
    <t>212 E BOWIE ST</t>
  </si>
  <si>
    <t>LULING</t>
  </si>
  <si>
    <t>121 S MAIN</t>
  </si>
  <si>
    <t>LUMBERTON</t>
  </si>
  <si>
    <t>718 F.M. 1959 SUITE B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</si>
  <si>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</si>
  <si>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</si>
  <si>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</si>
  <si>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</si>
  <si>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</si>
  <si>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</si>
  <si>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</si>
  <si>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</si>
  <si>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</si>
  <si>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</si>
  <si>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</si>
  <si>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</si>
  <si>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</si>
  <si>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10335 US HWY 290E</t>
  </si>
  <si>
    <t>MANOR</t>
  </si>
  <si>
    <t>605 E BROAD ST</t>
  </si>
  <si>
    <t>MANSFIELD</t>
  </si>
  <si>
    <t>2001 BROADWAY ST</t>
  </si>
  <si>
    <t>MARBLE FALLS</t>
  </si>
  <si>
    <t>401 NORTH GONZALES, PO BOX T</t>
  </si>
  <si>
    <t>MARFA</t>
  </si>
  <si>
    <t>101 W SAN ANTONIO ST</t>
  </si>
  <si>
    <t>MARION</t>
  </si>
  <si>
    <t>130 COLEMAN ST</t>
  </si>
  <si>
    <t>MARLIN</t>
  </si>
  <si>
    <t>1305 E PINECREST DR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</si>
  <si>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</si>
  <si>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</si>
  <si>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</si>
  <si>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</si>
  <si>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</si>
  <si>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</si>
  <si>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</si>
  <si>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</si>
  <si>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</si>
  <si>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</si>
  <si>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</si>
  <si>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</si>
  <si>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</si>
  <si>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</si>
  <si>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</si>
  <si>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</si>
  <si>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</si>
  <si>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</si>
  <si>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</si>
  <si>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</si>
  <si>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</t>
  </si>
  <si>
    <t>MCLEAN</t>
  </si>
  <si>
    <t>100 MAIN ST</t>
  </si>
  <si>
    <t>MCLEOD</t>
  </si>
  <si>
    <t>P.O. BOX 359</t>
  </si>
  <si>
    <t>TILDEN</t>
  </si>
  <si>
    <t>604 4TH STREET</t>
  </si>
  <si>
    <t>MEADOW</t>
  </si>
  <si>
    <t>P.O. BX 1470, 1 BOBCAT LANE</t>
  </si>
  <si>
    <t>MEDINA</t>
  </si>
  <si>
    <t>8449 FM 471 S</t>
  </si>
  <si>
    <t>CASTROVILLE</t>
  </si>
  <si>
    <t>1904 COOPER ST</t>
  </si>
  <si>
    <t>MELISSA</t>
  </si>
  <si>
    <t>1501 HIGH ST</t>
  </si>
  <si>
    <t>MEMPHIS</t>
  </si>
  <si>
    <t>221 EAST SAN SABA STREET</t>
  </si>
  <si>
    <t>MENARD</t>
  </si>
  <si>
    <t>PO BOX 419, 206 E 6TH ST</t>
  </si>
  <si>
    <t>MERCEDES</t>
  </si>
  <si>
    <t>210 2ND STREET</t>
  </si>
  <si>
    <t>MERIDIAN</t>
  </si>
  <si>
    <t>616 NORTH RED RIVER</t>
  </si>
  <si>
    <t>MEXIA</t>
  </si>
  <si>
    <t>615 W MISSOURI AVE</t>
  </si>
  <si>
    <t>925 S 9TH ST</t>
  </si>
  <si>
    <t>MIDLOTHIAN</t>
  </si>
  <si>
    <t>901 OLD HEWITT RD</t>
  </si>
  <si>
    <t>HEWITT</t>
  </si>
  <si>
    <t>12142 STATE HIGHWAY 148 S.</t>
  </si>
  <si>
    <t>500 N FIFTH STREET</t>
  </si>
  <si>
    <t>MILANO</t>
  </si>
  <si>
    <t>5475 S. US HIGHWAY 287</t>
  </si>
  <si>
    <t>305 PINE ST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</si>
  <si>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</si>
  <si>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</si>
  <si>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</si>
  <si>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</si>
  <si>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</si>
  <si>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</si>
  <si>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</si>
  <si>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</si>
  <si>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</si>
  <si>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</si>
  <si>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</si>
  <si>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</si>
  <si>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</si>
  <si>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</si>
  <si>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</si>
  <si>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107 CORA LEE LANE</t>
  </si>
  <si>
    <t>MOODY</t>
  </si>
  <si>
    <t>900 MAIN PO BOX 98</t>
  </si>
  <si>
    <t>MORAN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</si>
  <si>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</si>
  <si>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</si>
  <si>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</si>
  <si>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</si>
  <si>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</si>
  <si>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</si>
  <si>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</si>
  <si>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</si>
  <si>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</si>
  <si>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</si>
  <si>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</si>
  <si>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</si>
  <si>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>PO BOX 1117</t>
  </si>
  <si>
    <t>HIGHWAY 37 SOUTH</t>
  </si>
  <si>
    <t>MT VERNON</t>
  </si>
  <si>
    <t>514 W AVENUE G</t>
  </si>
  <si>
    <t>MULESHOE</t>
  </si>
  <si>
    <t>403 WEST BULLDOG DRIVE</t>
  </si>
  <si>
    <t>MULLIN</t>
  </si>
  <si>
    <t>911 WEST D STREET</t>
  </si>
  <si>
    <t>MUNDAY</t>
  </si>
  <si>
    <t>718 BACON STREET, P.O. BOX 879</t>
  </si>
  <si>
    <t>MADISONVILLE</t>
  </si>
  <si>
    <t>2000 N 23RD ST</t>
  </si>
  <si>
    <t>McALLEN</t>
  </si>
  <si>
    <t>405 E. Davis St</t>
  </si>
  <si>
    <t>Mesquite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</si>
  <si>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</si>
  <si>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</si>
  <si>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</si>
  <si>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</si>
  <si>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</si>
  <si>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</si>
  <si>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</si>
  <si>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</si>
  <si>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</si>
  <si>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</si>
  <si>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</si>
  <si>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</si>
  <si>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</si>
  <si>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</si>
  <si>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</si>
  <si>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</si>
  <si>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</si>
  <si>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</si>
  <si>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1373 US HWY 259 SOUTH</t>
  </si>
  <si>
    <t>DIANA</t>
  </si>
  <si>
    <t>1313 SE MILITARY DRIVE, SUITE 117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</si>
  <si>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</si>
  <si>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</si>
  <si>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</si>
  <si>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</si>
  <si>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</si>
  <si>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</si>
  <si>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</si>
  <si>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</si>
  <si>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</si>
  <si>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</si>
  <si>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</si>
  <si>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</si>
  <si>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</si>
  <si>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</si>
  <si>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</si>
  <si>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</si>
  <si>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8961 TESORO DRIVE, SUITE 517</t>
  </si>
  <si>
    <t>7201 LANGLEY ROAD</t>
  </si>
  <si>
    <t>1994 FM 71 WEST</t>
  </si>
  <si>
    <t>SULPHUR SPRINGS</t>
  </si>
  <si>
    <t>3201 LEWIS LN</t>
  </si>
  <si>
    <t>11390 5TH STREET</t>
  </si>
  <si>
    <t>NORTH ZULCH</t>
  </si>
  <si>
    <t>5900 EVERS RD</t>
  </si>
  <si>
    <t>18040 US HIGHWAY 283</t>
  </si>
  <si>
    <t>VERNON</t>
  </si>
  <si>
    <t>P.O. BOX 77070</t>
  </si>
  <si>
    <t>FT WORTH</t>
  </si>
  <si>
    <t>500 FIFTH STREET</t>
  </si>
  <si>
    <t>ODONNELL</t>
  </si>
  <si>
    <t>802 HOLLY ST</t>
  </si>
  <si>
    <t>OAKWOOD</t>
  </si>
  <si>
    <t>125 COLLEGE AVE</t>
  </si>
  <si>
    <t>OGLESBY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</si>
  <si>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</si>
  <si>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</si>
  <si>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</si>
  <si>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</si>
  <si>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</si>
  <si>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</si>
  <si>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</si>
  <si>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</si>
  <si>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</si>
  <si>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</si>
  <si>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100 W REBEL RD</t>
  </si>
  <si>
    <t>ORE CITY</t>
  </si>
  <si>
    <t>2951 WILLIAMS DRIVE</t>
  </si>
  <si>
    <t>501 E HENDERSON ST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</si>
  <si>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</si>
  <si>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</si>
  <si>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</si>
  <si>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</si>
  <si>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</si>
  <si>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</si>
  <si>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</si>
  <si>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</si>
  <si>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129 PRVATE ROAD 3421</t>
  </si>
  <si>
    <t>VALERA</t>
  </si>
  <si>
    <t>338 SCHOOL HOUSE ROAD</t>
  </si>
  <si>
    <t>PARADISE</t>
  </si>
  <si>
    <t>1920 CLARKSVILLE ST</t>
  </si>
  <si>
    <t>1515 CHERRYBROOK LN</t>
  </si>
  <si>
    <t>PASADENA</t>
  </si>
  <si>
    <t>2337 N GALVESTON</t>
  </si>
  <si>
    <t>PEARLAND</t>
  </si>
  <si>
    <t>318 BERRY RANCH ROAD</t>
  </si>
  <si>
    <t>REARSALL</t>
  </si>
  <si>
    <t>3602 HARWELL LAKE ROAD, PO BOX 129</t>
  </si>
  <si>
    <t>PEASTER</t>
  </si>
  <si>
    <t>PO BOX 869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</si>
  <si>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</si>
  <si>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</si>
  <si>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</si>
  <si>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</si>
  <si>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</si>
  <si>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</si>
  <si>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</si>
  <si>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</si>
  <si>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</si>
  <si>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</si>
  <si>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</si>
  <si>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</si>
  <si>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</si>
  <si>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</si>
  <si>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</si>
  <si>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601 E. KELLY</t>
  </si>
  <si>
    <t>PHARR</t>
  </si>
  <si>
    <t>829 S HARRISON ST</t>
  </si>
  <si>
    <t>PILOT POINT</t>
  </si>
  <si>
    <t>PO BOX 5878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</si>
  <si>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</si>
  <si>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</si>
  <si>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</si>
  <si>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</si>
  <si>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</si>
  <si>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</si>
  <si>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</si>
  <si>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</si>
  <si>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</si>
  <si>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</si>
  <si>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</si>
  <si>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</si>
  <si>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</si>
  <si>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</si>
  <si>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</si>
  <si>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</si>
  <si>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</si>
  <si>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100 STATION STREET</t>
  </si>
  <si>
    <t>PORT ARANSAS</t>
  </si>
  <si>
    <t>733 5TH ST, PO BOX 1388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</si>
  <si>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</si>
  <si>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</si>
  <si>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</si>
  <si>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</si>
  <si>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</si>
  <si>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</si>
  <si>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</si>
  <si>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P.O. BOX 250, 510 TITCOMB STREET</t>
  </si>
  <si>
    <t>POTH</t>
  </si>
  <si>
    <t>6910 HIGHWAY 80, P.O. BOX 9</t>
  </si>
  <si>
    <t>PRAIRIE LEA</t>
  </si>
  <si>
    <t>12920 FM 103</t>
  </si>
  <si>
    <t>466 FM 196 SOUTH</t>
  </si>
  <si>
    <t>PATTONVILLE</t>
  </si>
  <si>
    <t>439 SW 4TH STREET</t>
  </si>
  <si>
    <t>PREMONT</t>
  </si>
  <si>
    <t>HIGHWAY 77/FARM ROAD 772</t>
  </si>
  <si>
    <t>100 COMMERCE ST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</si>
  <si>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</si>
  <si>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</si>
  <si>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</si>
  <si>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</si>
  <si>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</si>
  <si>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</si>
  <si>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</si>
  <si>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P.O. BOX 610</t>
  </si>
  <si>
    <t>PROGRESO</t>
  </si>
  <si>
    <t>605 E 7TH ST</t>
  </si>
  <si>
    <t>PROSPER</t>
  </si>
  <si>
    <t>403 S MAIN ST,  P.O. BOX 150</t>
  </si>
  <si>
    <t>QUANAH</t>
  </si>
  <si>
    <t>301A E MAIN ST</t>
  </si>
  <si>
    <t>QUINLAN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</si>
  <si>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</si>
  <si>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</si>
  <si>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</si>
  <si>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</si>
  <si>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</si>
  <si>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</si>
  <si>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</si>
  <si>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</si>
  <si>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</si>
  <si>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</si>
  <si>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</si>
  <si>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HIGHWAY 80 EAST</t>
  </si>
  <si>
    <t>RANGER</t>
  </si>
  <si>
    <t>511 WEST 12TH STREET</t>
  </si>
  <si>
    <t>RANKIN</t>
  </si>
  <si>
    <t>2950 BROADWAY</t>
  </si>
  <si>
    <t>1 BEARKAT BLVD</t>
  </si>
  <si>
    <t>RAYMONDVILLE</t>
  </si>
  <si>
    <t>1111 E 12TH ST</t>
  </si>
  <si>
    <t>BIG LAKE</t>
  </si>
  <si>
    <t>156 LOUISE RITTER BOULEVARD</t>
  </si>
  <si>
    <t>RED OAK</t>
  </si>
  <si>
    <t>FARM RD 991</t>
  </si>
  <si>
    <t>REDWATER</t>
  </si>
  <si>
    <t>212 W VANCE ST</t>
  </si>
  <si>
    <t>REFUGIO</t>
  </si>
  <si>
    <t>7145 WEST TIDWELL</t>
  </si>
  <si>
    <t>P.O. BOX 292730, 1800 LAKEWAY DRIVE, SUITE 100</t>
  </si>
  <si>
    <t>LEWISVILLE</t>
  </si>
  <si>
    <t>138 WEST COUNTY ROAD 2160</t>
  </si>
  <si>
    <t>1094 RAIDER DRIVE</t>
  </si>
  <si>
    <t>ALTAIR</t>
  </si>
  <si>
    <t>1302 SOUTH MCKINNEY</t>
  </si>
  <si>
    <t>RICE</t>
  </si>
  <si>
    <t>1263 TERMINAL LOOP</t>
  </si>
  <si>
    <t>MCQUEENEY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</si>
  <si>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</si>
  <si>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</si>
  <si>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</si>
  <si>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</si>
  <si>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</si>
  <si>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</si>
  <si>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</si>
  <si>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</si>
  <si>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</si>
  <si>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</si>
  <si>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</si>
  <si>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</si>
  <si>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116 N MAIN ST</t>
  </si>
  <si>
    <t>RISING STAR</t>
  </si>
  <si>
    <t>9500 US 287  NORTH</t>
  </si>
  <si>
    <t>4100 US HWY 271 S</t>
  </si>
  <si>
    <t>BOGATA</t>
  </si>
  <si>
    <t>203 SEAHAWK DR</t>
  </si>
  <si>
    <t>RIVIERA</t>
  </si>
  <si>
    <t>500 W LYNDALE AVE</t>
  </si>
  <si>
    <t>801 N 1ST ST</t>
  </si>
  <si>
    <t>ROBSTOWN</t>
  </si>
  <si>
    <t>100 THRU STREET</t>
  </si>
  <si>
    <t>ROCHELLE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</si>
  <si>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</si>
  <si>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</si>
  <si>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</si>
  <si>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</si>
  <si>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</si>
  <si>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</si>
  <si>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</si>
  <si>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</si>
  <si>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</si>
  <si>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</si>
  <si>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</si>
  <si>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</si>
  <si>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</si>
  <si>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</si>
  <si>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</si>
  <si>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</si>
  <si>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</si>
  <si>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378 CENTENNIAL ST</t>
  </si>
  <si>
    <t>CARMINE</t>
  </si>
  <si>
    <t>2520 DURKIN RD, PO BOX 489</t>
  </si>
  <si>
    <t>PATTISON</t>
  </si>
  <si>
    <t>810 OLD GREENVILLE RD.</t>
  </si>
  <si>
    <t>ROYSE CITY</t>
  </si>
  <si>
    <t>600 REIFERT STREET</t>
  </si>
  <si>
    <t>RUNGE</t>
  </si>
  <si>
    <t>P.O. BOX 837, 1 RAM DRIVE</t>
  </si>
  <si>
    <t>SADLER</t>
  </si>
  <si>
    <t>409 WEST CULLINS PO BOX 338</t>
  </si>
  <si>
    <t>SABINAL</t>
  </si>
  <si>
    <t>P.O. BOX 1148, 5641 SOUTH GULFWAY DRIVE</t>
  </si>
  <si>
    <t>SABINE PASS</t>
  </si>
  <si>
    <t>503 E EVANS ST</t>
  </si>
  <si>
    <t>SAINT JO</t>
  </si>
  <si>
    <t>P.O. BOX 98, THOMAS ARNOLD ROAD</t>
  </si>
  <si>
    <t>SALADO</t>
  </si>
  <si>
    <t>100 SCHOOL STREET</t>
  </si>
  <si>
    <t>SALTILLO</t>
  </si>
  <si>
    <t>15781 FM 1036</t>
  </si>
  <si>
    <t>SAMNORWOOD</t>
  </si>
  <si>
    <t>1621 UNIVERSITY AVENUE</t>
  </si>
  <si>
    <t>1702 N. ALAMO STREET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</si>
  <si>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</si>
  <si>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</si>
  <si>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</si>
  <si>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</si>
  <si>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</si>
  <si>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</si>
  <si>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</si>
  <si>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</si>
  <si>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</si>
  <si>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</si>
  <si>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</si>
  <si>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</si>
  <si>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</si>
  <si>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</si>
  <si>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</si>
  <si>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</si>
  <si>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</si>
  <si>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</si>
  <si>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</si>
  <si>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</si>
  <si>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</si>
  <si>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</si>
  <si>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</si>
  <si>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</si>
  <si>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</si>
  <si>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</si>
  <si>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</si>
  <si>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</si>
  <si>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</si>
  <si>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</si>
  <si>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</si>
  <si>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FARM ROAD 2201</t>
  </si>
  <si>
    <t>SANTO</t>
  </si>
  <si>
    <t>HIGHWAY 82</t>
  </si>
  <si>
    <t>SAVOY</t>
  </si>
  <si>
    <t>1060 ELBEL RD</t>
  </si>
  <si>
    <t>SCHERTZ</t>
  </si>
  <si>
    <t>1826 BASSE ROAD</t>
  </si>
  <si>
    <t>517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</si>
  <si>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</si>
  <si>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</si>
  <si>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</si>
  <si>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</si>
  <si>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</si>
  <si>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</si>
  <si>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</si>
  <si>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14493 SPID SUITE 307A</t>
  </si>
  <si>
    <t>15437 S.P.I.D.</t>
  </si>
  <si>
    <t>Corpus Christi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</si>
  <si>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</si>
  <si>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</si>
  <si>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</si>
  <si>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</si>
  <si>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</si>
  <si>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</si>
  <si>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</si>
  <si>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</si>
  <si>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</si>
  <si>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</si>
  <si>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6663 WALZEM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</si>
  <si>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</si>
  <si>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</si>
  <si>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</si>
  <si>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</si>
  <si>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</si>
  <si>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</si>
  <si>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</si>
  <si>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</si>
  <si>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</si>
  <si>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</si>
  <si>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</si>
  <si>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</si>
  <si>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</si>
  <si>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</si>
  <si>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</si>
  <si>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PO BOX 9</t>
  </si>
  <si>
    <t>SIMMS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</si>
  <si>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</si>
  <si>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</si>
  <si>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</si>
  <si>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</si>
  <si>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</si>
  <si>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</si>
  <si>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</si>
  <si>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</si>
  <si>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</si>
  <si>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</si>
  <si>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</si>
  <si>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</si>
  <si>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</si>
  <si>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</si>
  <si>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201 TANTON ROAD, PO BOX 292800</t>
  </si>
  <si>
    <t>19644 SOMERSET RD</t>
  </si>
  <si>
    <t>SOMERSET</t>
  </si>
  <si>
    <t>625 8TH. STREET</t>
  </si>
  <si>
    <t>SOMERVILLE</t>
  </si>
  <si>
    <t>5622 RAY ELLISON BLVD</t>
  </si>
  <si>
    <t>100 MED HIGH DR</t>
  </si>
  <si>
    <t>RR 2 BOX 103</t>
  </si>
  <si>
    <t>1460 MARTINEZ-LOSOYA RD</t>
  </si>
  <si>
    <t>11914 DRAGON LN</t>
  </si>
  <si>
    <t>1248 AUSTIN HWY # 220</t>
  </si>
  <si>
    <t>403 E 11TH AVE</t>
  </si>
  <si>
    <t>SPEARMAN</t>
  </si>
  <si>
    <t>26175-A FM2090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</si>
  <si>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</si>
  <si>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</si>
  <si>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</si>
  <si>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</si>
  <si>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</si>
  <si>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</si>
  <si>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</si>
  <si>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</si>
  <si>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</si>
  <si>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</si>
  <si>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 RD</t>
  </si>
  <si>
    <t>STAFFORD</t>
  </si>
  <si>
    <t>200 NORTH COLLEGE STREET</t>
  </si>
  <si>
    <t>STANTON</t>
  </si>
  <si>
    <t>580 FARM ROAD 1047</t>
  </si>
  <si>
    <t>STAR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</si>
  <si>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</si>
  <si>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</si>
  <si>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</si>
  <si>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</si>
  <si>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</si>
  <si>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</si>
  <si>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</si>
  <si>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</si>
  <si>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</si>
  <si>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</si>
  <si>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</si>
  <si>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</si>
  <si>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</si>
  <si>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</si>
  <si>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</si>
  <si>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</si>
  <si>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</si>
  <si>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207 MUSGROVE ST</t>
  </si>
  <si>
    <t>SWEETWATER</t>
  </si>
  <si>
    <t>400 COLLEGE ST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</si>
  <si>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</si>
  <si>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</si>
  <si>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</si>
  <si>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</si>
  <si>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</si>
  <si>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</si>
  <si>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</si>
  <si>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</si>
  <si>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</si>
  <si>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116 WEST 5TH STREET</t>
  </si>
  <si>
    <t>WESLACO</t>
  </si>
  <si>
    <t>200 N 23RD ST</t>
  </si>
  <si>
    <t>TEMPLE</t>
  </si>
  <si>
    <t>FIRST &amp; HACKBERRY</t>
  </si>
  <si>
    <t>SANDERSON</t>
  </si>
  <si>
    <t>4241 SUMMERHILL RD</t>
  </si>
  <si>
    <t>TEXARKANA</t>
  </si>
  <si>
    <t>1401 9TH AVE N</t>
  </si>
  <si>
    <t>TEXAS CITY</t>
  </si>
  <si>
    <t>1100 W 45TH ST</t>
  </si>
  <si>
    <t>1102 SOUTH CONGRESS AVENUE</t>
  </si>
  <si>
    <t>PO BOX 709</t>
  </si>
  <si>
    <t>TEXHOMA</t>
  </si>
  <si>
    <t>302 PINE STREET</t>
  </si>
  <si>
    <t>TEXLINE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</si>
  <si>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</si>
  <si>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</si>
  <si>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</si>
  <si>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</si>
  <si>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</si>
  <si>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</si>
  <si>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</si>
  <si>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</si>
  <si>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</si>
  <si>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</si>
  <si>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</si>
  <si>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</si>
  <si>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</si>
  <si>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221 W MAIN ST</t>
  </si>
  <si>
    <t>TOMBALL</t>
  </si>
  <si>
    <t>19200 COBB ST</t>
  </si>
  <si>
    <t>TORNILLO</t>
  </si>
  <si>
    <t>807 NORTH 8TH STREET</t>
  </si>
  <si>
    <t>500 BALLENTINE STREET</t>
  </si>
  <si>
    <t>TRENTON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</si>
  <si>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</si>
  <si>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</si>
  <si>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</si>
  <si>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</si>
  <si>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</si>
  <si>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</si>
  <si>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</si>
  <si>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</si>
  <si>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</si>
  <si>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 39</t>
  </si>
  <si>
    <t>1319 NEW SUNNYBROOK</t>
  </si>
  <si>
    <t>601 N AKARD, SUITE 203</t>
  </si>
  <si>
    <t>Dallas</t>
  </si>
  <si>
    <t>2197 FM 2088</t>
  </si>
  <si>
    <t>201 LINDENWOOD DR</t>
  </si>
  <si>
    <t>606 ROYAL LANE</t>
  </si>
  <si>
    <t>P.O. BOX 880</t>
  </si>
  <si>
    <t>UTOPIA</t>
  </si>
  <si>
    <t>1000 N GETTY ST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</si>
  <si>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</si>
  <si>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</si>
  <si>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</si>
  <si>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</si>
  <si>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</si>
  <si>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</si>
  <si>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</si>
  <si>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103 PARK LOOP</t>
  </si>
  <si>
    <t>VAN</t>
  </si>
  <si>
    <t>4TH &amp; AVENUE I</t>
  </si>
  <si>
    <t>VAN VLECK</t>
  </si>
  <si>
    <t>5025 S WILLOW DR</t>
  </si>
  <si>
    <t>200 LONGHORN DRIVE</t>
  </si>
  <si>
    <t>VEGA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</si>
  <si>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</si>
  <si>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</si>
  <si>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</si>
  <si>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</si>
  <si>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</si>
  <si>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</si>
  <si>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</si>
  <si>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</si>
  <si>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</si>
  <si>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</si>
  <si>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RR 4</t>
  </si>
  <si>
    <t>1918 KEY ST</t>
  </si>
  <si>
    <t>WALLER</t>
  </si>
  <si>
    <t>47 COUNTY RD 198</t>
  </si>
  <si>
    <t>F M 3290</t>
  </si>
  <si>
    <t>WARREN</t>
  </si>
  <si>
    <t>225 W SCHOOL AVE</t>
  </si>
  <si>
    <t>WASKOM</t>
  </si>
  <si>
    <t>17886 WILDCAT DRIVE</t>
  </si>
  <si>
    <t>WATER VALLEY</t>
  </si>
  <si>
    <t>411 N GIBSON ST</t>
  </si>
  <si>
    <t>WAXAHACHIE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</si>
  <si>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</si>
  <si>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</si>
  <si>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</si>
  <si>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</si>
  <si>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</si>
  <si>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</si>
  <si>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</si>
  <si>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</si>
  <si>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</si>
  <si>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</si>
  <si>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</si>
  <si>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</si>
  <si>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801 N REAGAN ST</t>
  </si>
  <si>
    <t>WEST</t>
  </si>
  <si>
    <t>505 15TH ST</t>
  </si>
  <si>
    <t>5050 ROCKFORD DR</t>
  </si>
  <si>
    <t>PO BOX 168</t>
  </si>
  <si>
    <t>NEW LONDON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</si>
  <si>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</si>
  <si>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</si>
  <si>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</si>
  <si>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</si>
  <si>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</si>
  <si>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</si>
  <si>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</si>
  <si>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</si>
  <si>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</si>
  <si>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</si>
  <si>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</si>
  <si>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</si>
  <si>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</si>
  <si>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</si>
  <si>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</si>
  <si>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</si>
  <si>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</si>
  <si>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</si>
  <si>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</si>
  <si>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</si>
  <si>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</si>
  <si>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1104 BROAD STREET</t>
  </si>
  <si>
    <t>604 HIGH TECH DRIVE</t>
  </si>
  <si>
    <t>204 W ROGERS ST</t>
  </si>
  <si>
    <t>WILLIS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</si>
  <si>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</si>
  <si>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</si>
  <si>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</si>
  <si>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</si>
  <si>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</si>
  <si>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</si>
  <si>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</si>
  <si>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</si>
  <si>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207 E PINE ST</t>
  </si>
  <si>
    <t>WINNSBORO</t>
  </si>
  <si>
    <t>605 WILDCAT DR</t>
  </si>
  <si>
    <t>WINONA</t>
  </si>
  <si>
    <t>603 N. HEIGHTS ST</t>
  </si>
  <si>
    <t>WINTERS</t>
  </si>
  <si>
    <t>505 DALLAS ST</t>
  </si>
  <si>
    <t>WOLFE CITY</t>
  </si>
  <si>
    <t>704 LOCKE STREET</t>
  </si>
  <si>
    <t>WOODSBORO</t>
  </si>
  <si>
    <t>100 COWBOY LANE, PO BOX 287</t>
  </si>
  <si>
    <t>WOODSON</t>
  </si>
  <si>
    <t>505 N CHARLTON ST</t>
  </si>
  <si>
    <t>WOODVILLE</t>
  </si>
  <si>
    <t>200 S 5TH ST</t>
  </si>
  <si>
    <t>WORTHAM</t>
  </si>
  <si>
    <t>7049 BUFFALO GAP RD</t>
  </si>
  <si>
    <t>951 S BALLARD AVE</t>
  </si>
  <si>
    <t>WYLIE</t>
  </si>
  <si>
    <t>105 WEST OAK ST</t>
  </si>
  <si>
    <t>YANTIS</t>
  </si>
  <si>
    <t>6201 BONHOMME ROAD, SUITE 168-N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</si>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</sst>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3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767510</v>
      </c>
      <c r="B2">
        <v>2075275</v>
      </c>
      <c r="C2" t="str">
        <f t="shared" ref="C2:C8" si="0">"A + ACADEMY"</f>
        <v>A + ACADEMY</v>
      </c>
      <c r="D2" t="s">
        <v>11</v>
      </c>
      <c r="E2" t="s">
        <v>12</v>
      </c>
      <c r="F2" t="s">
        <v>13</v>
      </c>
      <c r="G2">
        <v>75217</v>
      </c>
      <c r="H2">
        <v>2010</v>
      </c>
      <c r="I2" s="1">
        <v>14292.07</v>
      </c>
      <c r="J2" s="1">
        <v>15880.08</v>
      </c>
      <c r="K2" s="1">
        <v>13664.05</v>
      </c>
    </row>
    <row r="3" spans="1:11" x14ac:dyDescent="0.35">
      <c r="A3">
        <v>767510</v>
      </c>
      <c r="B3">
        <v>2075321</v>
      </c>
      <c r="C3" t="str">
        <f t="shared" si="0"/>
        <v>A + ACADEMY</v>
      </c>
      <c r="D3" t="s">
        <v>11</v>
      </c>
      <c r="E3" t="s">
        <v>12</v>
      </c>
      <c r="F3" t="s">
        <v>13</v>
      </c>
      <c r="G3">
        <v>75217</v>
      </c>
      <c r="H3">
        <v>2010</v>
      </c>
      <c r="I3" s="1">
        <v>0</v>
      </c>
      <c r="J3" s="1">
        <v>0</v>
      </c>
    </row>
    <row r="4" spans="1:11" x14ac:dyDescent="0.35">
      <c r="A4">
        <v>767510</v>
      </c>
      <c r="B4">
        <v>2075243</v>
      </c>
      <c r="C4" t="str">
        <f t="shared" si="0"/>
        <v>A + ACADEMY</v>
      </c>
      <c r="D4" t="s">
        <v>11</v>
      </c>
      <c r="E4" t="s">
        <v>12</v>
      </c>
      <c r="F4" t="s">
        <v>13</v>
      </c>
      <c r="G4">
        <v>75217</v>
      </c>
      <c r="H4">
        <v>2010</v>
      </c>
      <c r="I4" s="1">
        <v>0</v>
      </c>
      <c r="J4" s="1">
        <v>0</v>
      </c>
    </row>
    <row r="5" spans="1:11" x14ac:dyDescent="0.35">
      <c r="A5">
        <v>767510</v>
      </c>
      <c r="B5">
        <v>2075353</v>
      </c>
      <c r="C5" t="str">
        <f t="shared" si="0"/>
        <v>A + ACADEMY</v>
      </c>
      <c r="D5" t="s">
        <v>11</v>
      </c>
      <c r="E5" t="s">
        <v>12</v>
      </c>
      <c r="F5" t="s">
        <v>13</v>
      </c>
      <c r="G5">
        <v>75217</v>
      </c>
      <c r="H5">
        <v>2010</v>
      </c>
      <c r="I5" s="1">
        <v>9297.14</v>
      </c>
      <c r="J5" s="1">
        <v>10330.16</v>
      </c>
      <c r="K5" s="1">
        <v>9297.14</v>
      </c>
    </row>
    <row r="6" spans="1:11" x14ac:dyDescent="0.35">
      <c r="A6">
        <v>767510</v>
      </c>
      <c r="B6">
        <v>2075296</v>
      </c>
      <c r="C6" t="str">
        <f t="shared" si="0"/>
        <v>A + ACADEMY</v>
      </c>
      <c r="D6" t="s">
        <v>11</v>
      </c>
      <c r="E6" t="s">
        <v>12</v>
      </c>
      <c r="F6" t="s">
        <v>13</v>
      </c>
      <c r="G6">
        <v>75217</v>
      </c>
      <c r="H6">
        <v>2010</v>
      </c>
      <c r="I6" s="1">
        <v>13813.96</v>
      </c>
      <c r="J6" s="1">
        <v>15348.84</v>
      </c>
      <c r="K6" s="1">
        <v>12778.1</v>
      </c>
    </row>
    <row r="7" spans="1:11" x14ac:dyDescent="0.35">
      <c r="A7">
        <v>767510</v>
      </c>
      <c r="B7">
        <v>2075336</v>
      </c>
      <c r="C7" t="str">
        <f t="shared" si="0"/>
        <v>A + ACADEMY</v>
      </c>
      <c r="D7" t="s">
        <v>11</v>
      </c>
      <c r="E7" t="s">
        <v>12</v>
      </c>
      <c r="F7" t="s">
        <v>13</v>
      </c>
      <c r="G7">
        <v>75217</v>
      </c>
      <c r="H7">
        <v>2010</v>
      </c>
      <c r="I7" s="1">
        <v>5872.39</v>
      </c>
      <c r="J7" s="1">
        <v>6524.88</v>
      </c>
      <c r="K7" s="1">
        <v>5872.39</v>
      </c>
    </row>
    <row r="8" spans="1:11" x14ac:dyDescent="0.35">
      <c r="A8">
        <v>767510</v>
      </c>
      <c r="B8">
        <v>2075260</v>
      </c>
      <c r="C8" t="str">
        <f t="shared" si="0"/>
        <v>A + ACADEMY</v>
      </c>
      <c r="D8" t="s">
        <v>11</v>
      </c>
      <c r="E8" t="s">
        <v>12</v>
      </c>
      <c r="F8" t="s">
        <v>13</v>
      </c>
      <c r="G8">
        <v>75217</v>
      </c>
      <c r="H8">
        <v>2010</v>
      </c>
      <c r="I8" s="1">
        <v>0</v>
      </c>
      <c r="J8" s="1">
        <v>0</v>
      </c>
    </row>
    <row r="9" spans="1:11" x14ac:dyDescent="0.35">
      <c r="A9">
        <v>707808</v>
      </c>
      <c r="B9">
        <v>1988848</v>
      </c>
      <c r="C9" t="str">
        <f>"ABBOTT INDEP SCHOOL DISTRICT"</f>
        <v>ABBOTT INDEP SCHOOL DISTRICT</v>
      </c>
      <c r="D9" t="s">
        <v>11</v>
      </c>
      <c r="E9" t="s">
        <v>14</v>
      </c>
      <c r="F9" t="s">
        <v>15</v>
      </c>
      <c r="G9">
        <v>76621</v>
      </c>
      <c r="H9">
        <v>2010</v>
      </c>
      <c r="I9" s="1">
        <v>15649.2</v>
      </c>
      <c r="J9" s="1">
        <v>22680</v>
      </c>
      <c r="K9" s="1">
        <v>15649.2</v>
      </c>
    </row>
    <row r="10" spans="1:11" x14ac:dyDescent="0.35">
      <c r="A10">
        <v>719179</v>
      </c>
      <c r="B10">
        <v>1952877</v>
      </c>
      <c r="C10" t="str">
        <f>"ABERNATHY INDEP SCHOOL DIST"</f>
        <v>ABERNATHY INDEP SCHOOL DIST</v>
      </c>
      <c r="D10" t="s">
        <v>11</v>
      </c>
      <c r="E10" t="s">
        <v>16</v>
      </c>
      <c r="F10" t="s">
        <v>17</v>
      </c>
      <c r="G10">
        <v>79311</v>
      </c>
      <c r="H10">
        <v>2010</v>
      </c>
      <c r="I10" s="1">
        <v>16218.51</v>
      </c>
      <c r="J10" s="1">
        <v>21063</v>
      </c>
      <c r="K10" s="1">
        <v>12584.73</v>
      </c>
    </row>
    <row r="11" spans="1:11" x14ac:dyDescent="0.35">
      <c r="A11">
        <v>733673</v>
      </c>
      <c r="B11">
        <v>1986155</v>
      </c>
      <c r="C11" t="str">
        <f>"ABILENE INDEP SCHOOL DISTRICT"</f>
        <v>ABILENE INDEP SCHOOL DISTRICT</v>
      </c>
      <c r="D11" t="s">
        <v>11</v>
      </c>
      <c r="E11" t="s">
        <v>18</v>
      </c>
      <c r="F11" t="s">
        <v>19</v>
      </c>
      <c r="G11">
        <v>79601</v>
      </c>
      <c r="H11">
        <v>2010</v>
      </c>
      <c r="I11" s="1">
        <v>37038.6</v>
      </c>
      <c r="J11" s="1">
        <v>48735</v>
      </c>
      <c r="K11" s="1">
        <v>37038.6</v>
      </c>
    </row>
    <row r="12" spans="1:11" x14ac:dyDescent="0.35">
      <c r="A12">
        <v>718205</v>
      </c>
      <c r="B12">
        <v>1972580</v>
      </c>
      <c r="C12" t="str">
        <f>"ABILENE INDEP SCHOOL DISTRICT"</f>
        <v>ABILENE INDEP SCHOOL DISTRICT</v>
      </c>
      <c r="D12" t="s">
        <v>11</v>
      </c>
      <c r="E12" t="s">
        <v>18</v>
      </c>
      <c r="F12" t="s">
        <v>19</v>
      </c>
      <c r="G12">
        <v>79601</v>
      </c>
      <c r="H12">
        <v>2010</v>
      </c>
      <c r="I12" s="1">
        <v>11400</v>
      </c>
      <c r="J12" s="1">
        <v>15000</v>
      </c>
      <c r="K12" s="1">
        <v>11400</v>
      </c>
    </row>
    <row r="13" spans="1:11" x14ac:dyDescent="0.35">
      <c r="A13">
        <v>739816</v>
      </c>
      <c r="B13">
        <v>2034837</v>
      </c>
      <c r="C13" t="str">
        <f>"ACADEMY INDEP SCHOOL DISTRICT"</f>
        <v>ACADEMY INDEP SCHOOL DISTRICT</v>
      </c>
      <c r="D13" t="s">
        <v>11</v>
      </c>
      <c r="E13" t="s">
        <v>20</v>
      </c>
      <c r="F13" t="s">
        <v>21</v>
      </c>
      <c r="G13">
        <v>76554</v>
      </c>
      <c r="H13">
        <v>2010</v>
      </c>
      <c r="I13" s="1">
        <v>11340</v>
      </c>
      <c r="J13" s="1">
        <v>21000</v>
      </c>
      <c r="K13" s="1">
        <v>11340</v>
      </c>
    </row>
    <row r="14" spans="1:11" x14ac:dyDescent="0.35">
      <c r="A14">
        <v>736327</v>
      </c>
      <c r="B14">
        <v>2008661</v>
      </c>
      <c r="C14" t="str">
        <f>"AGUA DULCE INDEP SCHOOL DIST"</f>
        <v>AGUA DULCE INDEP SCHOOL DIST</v>
      </c>
      <c r="D14" t="s">
        <v>11</v>
      </c>
      <c r="E14" t="s">
        <v>22</v>
      </c>
      <c r="F14" t="s">
        <v>23</v>
      </c>
      <c r="G14">
        <v>78330</v>
      </c>
      <c r="H14">
        <v>2010</v>
      </c>
      <c r="I14" s="1">
        <v>0</v>
      </c>
      <c r="J14" s="1">
        <v>0</v>
      </c>
    </row>
    <row r="15" spans="1:11" x14ac:dyDescent="0.35">
      <c r="A15">
        <v>765670</v>
      </c>
      <c r="B15">
        <v>2069662</v>
      </c>
      <c r="C15" t="str">
        <f>"AGUA DULCE INDEP SCHOOL DIST"</f>
        <v>AGUA DULCE INDEP SCHOOL DIST</v>
      </c>
      <c r="D15" t="s">
        <v>11</v>
      </c>
      <c r="E15" t="s">
        <v>22</v>
      </c>
      <c r="F15" t="s">
        <v>23</v>
      </c>
      <c r="G15">
        <v>78330</v>
      </c>
      <c r="H15">
        <v>2010</v>
      </c>
      <c r="I15" s="1">
        <v>12896.06</v>
      </c>
      <c r="J15" s="1">
        <v>16120.08</v>
      </c>
      <c r="K15" s="1">
        <v>12896</v>
      </c>
    </row>
    <row r="16" spans="1:11" x14ac:dyDescent="0.35">
      <c r="A16">
        <v>735186</v>
      </c>
      <c r="B16">
        <v>1986971</v>
      </c>
      <c r="C16" t="str">
        <f>"ALAMO HEIGHTS IND SCHOOL DIST"</f>
        <v>ALAMO HEIGHTS IND SCHOOL DIST</v>
      </c>
      <c r="D16" t="s">
        <v>11</v>
      </c>
      <c r="E16" t="s">
        <v>24</v>
      </c>
      <c r="F16" t="s">
        <v>25</v>
      </c>
      <c r="G16">
        <v>78209</v>
      </c>
      <c r="H16">
        <v>2010</v>
      </c>
      <c r="I16" s="1">
        <v>7425</v>
      </c>
      <c r="J16" s="1">
        <v>16500</v>
      </c>
      <c r="K16" s="1">
        <v>7425</v>
      </c>
    </row>
    <row r="17" spans="1:11" x14ac:dyDescent="0.35">
      <c r="A17">
        <v>729441</v>
      </c>
      <c r="B17">
        <v>1973359</v>
      </c>
      <c r="C17" t="str">
        <f>"ALBA-GOLDEN IND SCHOOL DIST"</f>
        <v>ALBA-GOLDEN IND SCHOOL DIST</v>
      </c>
      <c r="D17" t="s">
        <v>11</v>
      </c>
      <c r="E17" t="s">
        <v>26</v>
      </c>
      <c r="F17" t="s">
        <v>27</v>
      </c>
      <c r="G17">
        <v>75410</v>
      </c>
      <c r="H17">
        <v>2010</v>
      </c>
      <c r="I17" s="1">
        <v>11700</v>
      </c>
      <c r="J17" s="1">
        <v>15600</v>
      </c>
      <c r="K17" s="1">
        <v>10800</v>
      </c>
    </row>
    <row r="18" spans="1:11" x14ac:dyDescent="0.35">
      <c r="A18">
        <v>745496</v>
      </c>
      <c r="B18">
        <v>2015740</v>
      </c>
      <c r="C18" t="str">
        <f>"ALDINE INDEP SCHOOL DISTRICT"</f>
        <v>ALDINE INDEP SCHOOL DISTRICT</v>
      </c>
      <c r="D18" t="s">
        <v>11</v>
      </c>
      <c r="E18" t="s">
        <v>28</v>
      </c>
      <c r="F18" t="s">
        <v>29</v>
      </c>
      <c r="G18">
        <v>77032</v>
      </c>
      <c r="H18">
        <v>2010</v>
      </c>
      <c r="I18" s="1">
        <v>42720</v>
      </c>
      <c r="J18" s="1">
        <v>48000</v>
      </c>
      <c r="K18" s="1">
        <v>39160</v>
      </c>
    </row>
    <row r="19" spans="1:11" x14ac:dyDescent="0.35">
      <c r="A19">
        <v>732050</v>
      </c>
      <c r="B19">
        <v>1999555</v>
      </c>
      <c r="C19" t="str">
        <f>"ALEDO INDEP SCHOOL DISTRICT"</f>
        <v>ALEDO INDEP SCHOOL DISTRICT</v>
      </c>
      <c r="D19" t="s">
        <v>11</v>
      </c>
      <c r="E19" t="s">
        <v>30</v>
      </c>
      <c r="F19" t="s">
        <v>31</v>
      </c>
      <c r="G19">
        <v>76008</v>
      </c>
      <c r="H19">
        <v>2010</v>
      </c>
      <c r="I19" s="1">
        <v>2361.6</v>
      </c>
      <c r="J19" s="1">
        <v>5760</v>
      </c>
      <c r="K19" s="1">
        <v>2361.6</v>
      </c>
    </row>
    <row r="20" spans="1:11" x14ac:dyDescent="0.35">
      <c r="A20">
        <v>732050</v>
      </c>
      <c r="B20">
        <v>1999586</v>
      </c>
      <c r="C20" t="str">
        <f>"ALEDO INDEP SCHOOL DISTRICT"</f>
        <v>ALEDO INDEP SCHOOL DISTRICT</v>
      </c>
      <c r="D20" t="s">
        <v>11</v>
      </c>
      <c r="E20" t="s">
        <v>30</v>
      </c>
      <c r="F20" t="s">
        <v>31</v>
      </c>
      <c r="G20">
        <v>76008</v>
      </c>
      <c r="H20">
        <v>2010</v>
      </c>
      <c r="I20" s="1">
        <v>0</v>
      </c>
      <c r="J20" s="1">
        <v>0</v>
      </c>
    </row>
    <row r="21" spans="1:11" x14ac:dyDescent="0.35">
      <c r="A21">
        <v>732050</v>
      </c>
      <c r="B21">
        <v>1999511</v>
      </c>
      <c r="C21" t="str">
        <f>"ALEDO INDEP SCHOOL DISTRICT"</f>
        <v>ALEDO INDEP SCHOOL DISTRICT</v>
      </c>
      <c r="D21" t="s">
        <v>11</v>
      </c>
      <c r="E21" t="s">
        <v>30</v>
      </c>
      <c r="F21" t="s">
        <v>31</v>
      </c>
      <c r="G21">
        <v>76008</v>
      </c>
      <c r="H21">
        <v>2010</v>
      </c>
      <c r="I21" s="1">
        <v>369</v>
      </c>
      <c r="J21" s="1">
        <v>900</v>
      </c>
      <c r="K21" s="1">
        <v>91.02</v>
      </c>
    </row>
    <row r="22" spans="1:11" x14ac:dyDescent="0.35">
      <c r="A22">
        <v>768202</v>
      </c>
      <c r="B22">
        <v>2077417</v>
      </c>
      <c r="C22" t="str">
        <f>"ALEDO INDEP SCHOOL DISTRICT"</f>
        <v>ALEDO INDEP SCHOOL DISTRICT</v>
      </c>
      <c r="D22" t="s">
        <v>11</v>
      </c>
      <c r="E22" t="s">
        <v>30</v>
      </c>
      <c r="F22" t="s">
        <v>31</v>
      </c>
      <c r="G22">
        <v>76008</v>
      </c>
      <c r="H22">
        <v>2010</v>
      </c>
      <c r="I22" s="1">
        <v>5900.62</v>
      </c>
      <c r="J22" s="1">
        <v>14391.76</v>
      </c>
      <c r="K22" s="1">
        <v>5900.62</v>
      </c>
    </row>
    <row r="23" spans="1:11" x14ac:dyDescent="0.35">
      <c r="A23">
        <v>736512</v>
      </c>
      <c r="B23">
        <v>1997145</v>
      </c>
      <c r="C23" t="str">
        <f>"ALICE INDEP SCHOOL DISTRICT"</f>
        <v>ALICE INDEP SCHOOL DISTRICT</v>
      </c>
      <c r="D23" t="s">
        <v>11</v>
      </c>
      <c r="E23" t="s">
        <v>32</v>
      </c>
      <c r="F23" t="s">
        <v>33</v>
      </c>
      <c r="G23">
        <v>78332</v>
      </c>
      <c r="H23">
        <v>2010</v>
      </c>
      <c r="I23" s="1">
        <v>25378.53</v>
      </c>
      <c r="J23" s="1">
        <v>29509.919999999998</v>
      </c>
      <c r="K23" s="1">
        <v>25378.53</v>
      </c>
    </row>
    <row r="24" spans="1:11" x14ac:dyDescent="0.35">
      <c r="A24">
        <v>736512</v>
      </c>
      <c r="B24">
        <v>2017471</v>
      </c>
      <c r="C24" t="str">
        <f>"ALICE INDEP SCHOOL DISTRICT"</f>
        <v>ALICE INDEP SCHOOL DISTRICT</v>
      </c>
      <c r="D24" t="s">
        <v>11</v>
      </c>
      <c r="E24" t="s">
        <v>32</v>
      </c>
      <c r="F24" t="s">
        <v>33</v>
      </c>
      <c r="G24">
        <v>78332</v>
      </c>
      <c r="H24">
        <v>2010</v>
      </c>
      <c r="I24" s="1">
        <v>39033.589999999997</v>
      </c>
      <c r="J24" s="1">
        <v>45387.9</v>
      </c>
      <c r="K24" s="1">
        <v>39033.589999999997</v>
      </c>
    </row>
    <row r="25" spans="1:11" x14ac:dyDescent="0.35">
      <c r="A25">
        <v>718848</v>
      </c>
      <c r="B25">
        <v>1954086</v>
      </c>
      <c r="C25" t="str">
        <f>"ALIEF INDEP SCHOOL DISTRICT"</f>
        <v>ALIEF INDEP SCHOOL DISTRICT</v>
      </c>
      <c r="D25" t="s">
        <v>11</v>
      </c>
      <c r="E25" t="s">
        <v>34</v>
      </c>
      <c r="F25" t="s">
        <v>29</v>
      </c>
      <c r="G25">
        <v>77072</v>
      </c>
      <c r="H25">
        <v>2010</v>
      </c>
      <c r="I25" s="1">
        <v>25800</v>
      </c>
      <c r="J25" s="1">
        <v>30000</v>
      </c>
      <c r="K25" s="1">
        <v>25800</v>
      </c>
    </row>
    <row r="26" spans="1:11" x14ac:dyDescent="0.35">
      <c r="A26">
        <v>745362</v>
      </c>
      <c r="B26">
        <v>2011946</v>
      </c>
      <c r="C26" t="str">
        <f>"ALIEF INDEP SCHOOL DISTRICT"</f>
        <v>ALIEF INDEP SCHOOL DISTRICT</v>
      </c>
      <c r="D26" t="s">
        <v>11</v>
      </c>
      <c r="E26" t="s">
        <v>34</v>
      </c>
      <c r="F26" t="s">
        <v>29</v>
      </c>
      <c r="G26">
        <v>77072</v>
      </c>
      <c r="H26">
        <v>2010</v>
      </c>
      <c r="I26" s="1">
        <v>19897.37</v>
      </c>
      <c r="J26" s="1">
        <v>23136.48</v>
      </c>
      <c r="K26" s="1">
        <v>19897.37</v>
      </c>
    </row>
    <row r="27" spans="1:11" x14ac:dyDescent="0.35">
      <c r="A27">
        <v>731674</v>
      </c>
      <c r="B27">
        <v>1979021</v>
      </c>
      <c r="C27" t="str">
        <f>"ALIEF INDEP SCHOOL DISTRICT"</f>
        <v>ALIEF INDEP SCHOOL DISTRICT</v>
      </c>
      <c r="D27" t="s">
        <v>11</v>
      </c>
      <c r="E27" t="s">
        <v>34</v>
      </c>
      <c r="F27" t="s">
        <v>29</v>
      </c>
      <c r="G27">
        <v>77072</v>
      </c>
      <c r="H27">
        <v>2010</v>
      </c>
      <c r="I27" s="1">
        <v>132379.54</v>
      </c>
      <c r="J27" s="1">
        <v>153929.70000000001</v>
      </c>
      <c r="K27" s="1">
        <v>132379.54</v>
      </c>
    </row>
    <row r="28" spans="1:11" x14ac:dyDescent="0.35">
      <c r="A28">
        <v>708935</v>
      </c>
      <c r="B28">
        <v>2008640</v>
      </c>
      <c r="C28" t="str">
        <f>"ALLEN INDEP SCHOOL DISTRICT"</f>
        <v>ALLEN INDEP SCHOOL DISTRICT</v>
      </c>
      <c r="D28" t="s">
        <v>11</v>
      </c>
      <c r="E28" t="s">
        <v>35</v>
      </c>
      <c r="F28" t="s">
        <v>36</v>
      </c>
      <c r="G28">
        <v>75013</v>
      </c>
      <c r="H28">
        <v>2010</v>
      </c>
      <c r="I28" s="1">
        <v>32469.3</v>
      </c>
      <c r="J28" s="1">
        <v>75510</v>
      </c>
      <c r="K28" s="1">
        <v>32469.3</v>
      </c>
    </row>
    <row r="29" spans="1:11" x14ac:dyDescent="0.35">
      <c r="A29">
        <v>729288</v>
      </c>
      <c r="B29">
        <v>1972985</v>
      </c>
      <c r="C29" t="str">
        <f>"ALPHA CHARTER SCHOOL"</f>
        <v>ALPHA CHARTER SCHOOL</v>
      </c>
      <c r="D29" t="s">
        <v>11</v>
      </c>
      <c r="E29" t="s">
        <v>37</v>
      </c>
      <c r="F29" t="s">
        <v>38</v>
      </c>
      <c r="G29">
        <v>75040</v>
      </c>
      <c r="H29">
        <v>2010</v>
      </c>
      <c r="I29" s="1">
        <v>9360</v>
      </c>
      <c r="J29" s="1">
        <v>11700</v>
      </c>
      <c r="K29" s="1">
        <v>9360</v>
      </c>
    </row>
    <row r="30" spans="1:11" x14ac:dyDescent="0.35">
      <c r="A30">
        <v>736003</v>
      </c>
      <c r="B30">
        <v>2025726</v>
      </c>
      <c r="C30" t="str">
        <f>"ALPINE INDEP SCHOOL DISTRICT"</f>
        <v>ALPINE INDEP SCHOOL DISTRICT</v>
      </c>
      <c r="D30" t="s">
        <v>11</v>
      </c>
      <c r="E30" t="s">
        <v>39</v>
      </c>
      <c r="F30" t="s">
        <v>40</v>
      </c>
      <c r="G30">
        <v>79830</v>
      </c>
      <c r="H30">
        <v>2010</v>
      </c>
      <c r="I30" s="1">
        <v>788.46</v>
      </c>
      <c r="J30" s="1">
        <v>1065.48</v>
      </c>
      <c r="K30" s="1">
        <v>788.46</v>
      </c>
    </row>
    <row r="31" spans="1:11" x14ac:dyDescent="0.35">
      <c r="A31">
        <v>735983</v>
      </c>
      <c r="B31">
        <v>2021901</v>
      </c>
      <c r="C31" t="str">
        <f>"ALPINE INDEP SCHOOL DISTRICT"</f>
        <v>ALPINE INDEP SCHOOL DISTRICT</v>
      </c>
      <c r="D31" t="s">
        <v>11</v>
      </c>
      <c r="E31" t="s">
        <v>39</v>
      </c>
      <c r="F31" t="s">
        <v>40</v>
      </c>
      <c r="G31">
        <v>79830</v>
      </c>
      <c r="H31">
        <v>2010</v>
      </c>
      <c r="I31" s="1">
        <v>18060.59</v>
      </c>
      <c r="J31" s="1">
        <v>24406.2</v>
      </c>
      <c r="K31" s="1">
        <v>18060.59</v>
      </c>
    </row>
    <row r="32" spans="1:11" x14ac:dyDescent="0.35">
      <c r="A32">
        <v>735991</v>
      </c>
      <c r="B32">
        <v>2008262</v>
      </c>
      <c r="C32" t="str">
        <f>"ALPINE INDEP SCHOOL DISTRICT"</f>
        <v>ALPINE INDEP SCHOOL DISTRICT</v>
      </c>
      <c r="D32" t="s">
        <v>11</v>
      </c>
      <c r="E32" t="s">
        <v>39</v>
      </c>
      <c r="F32" t="s">
        <v>40</v>
      </c>
      <c r="G32">
        <v>79830</v>
      </c>
      <c r="H32">
        <v>2010</v>
      </c>
      <c r="I32" s="1">
        <v>333</v>
      </c>
      <c r="J32" s="1">
        <v>450</v>
      </c>
      <c r="K32" s="1">
        <v>333</v>
      </c>
    </row>
    <row r="33" spans="1:11" x14ac:dyDescent="0.35">
      <c r="A33">
        <v>721534</v>
      </c>
      <c r="B33">
        <v>1957008</v>
      </c>
      <c r="C33" t="str">
        <f>"ALTO INDEP SCHOOL DISTRICT"</f>
        <v>ALTO INDEP SCHOOL DISTRICT</v>
      </c>
      <c r="D33" t="s">
        <v>11</v>
      </c>
      <c r="E33" t="s">
        <v>41</v>
      </c>
      <c r="F33" t="s">
        <v>42</v>
      </c>
      <c r="G33">
        <v>75925</v>
      </c>
      <c r="H33">
        <v>2010</v>
      </c>
      <c r="I33" s="1">
        <v>6048</v>
      </c>
      <c r="J33" s="1">
        <v>7200</v>
      </c>
      <c r="K33" s="1">
        <v>6048</v>
      </c>
    </row>
    <row r="34" spans="1:11" x14ac:dyDescent="0.35">
      <c r="A34">
        <v>712507</v>
      </c>
      <c r="B34">
        <v>1958991</v>
      </c>
      <c r="C34" t="str">
        <f>"ALVARADO INDEP SCHOOL DISTRICT"</f>
        <v>ALVARADO INDEP SCHOOL DISTRICT</v>
      </c>
      <c r="D34" t="s">
        <v>11</v>
      </c>
      <c r="E34" t="s">
        <v>43</v>
      </c>
      <c r="F34" t="s">
        <v>44</v>
      </c>
      <c r="G34">
        <v>76009</v>
      </c>
      <c r="H34">
        <v>2010</v>
      </c>
      <c r="I34" s="1">
        <v>9324</v>
      </c>
      <c r="J34" s="1">
        <v>12600</v>
      </c>
      <c r="K34" s="1">
        <v>9324</v>
      </c>
    </row>
    <row r="35" spans="1:11" x14ac:dyDescent="0.35">
      <c r="A35">
        <v>712507</v>
      </c>
      <c r="B35">
        <v>1958951</v>
      </c>
      <c r="C35" t="str">
        <f>"ALVARADO INDEP SCHOOL DISTRICT"</f>
        <v>ALVARADO INDEP SCHOOL DISTRICT</v>
      </c>
      <c r="D35" t="s">
        <v>11</v>
      </c>
      <c r="E35" t="s">
        <v>43</v>
      </c>
      <c r="F35" t="s">
        <v>44</v>
      </c>
      <c r="G35">
        <v>76009</v>
      </c>
      <c r="H35">
        <v>2010</v>
      </c>
      <c r="I35" s="1">
        <v>47242.32</v>
      </c>
      <c r="J35" s="1">
        <v>77032.08</v>
      </c>
      <c r="K35" s="1">
        <v>47242.32</v>
      </c>
    </row>
    <row r="36" spans="1:11" x14ac:dyDescent="0.35">
      <c r="A36">
        <v>760285</v>
      </c>
      <c r="B36">
        <v>2054253</v>
      </c>
      <c r="C36" t="str">
        <f>"ALVARADO INDEP SCHOOL DISTRICT"</f>
        <v>ALVARADO INDEP SCHOOL DISTRICT</v>
      </c>
      <c r="D36" t="s">
        <v>11</v>
      </c>
      <c r="E36" t="s">
        <v>43</v>
      </c>
      <c r="F36" t="s">
        <v>44</v>
      </c>
      <c r="G36">
        <v>76009</v>
      </c>
      <c r="H36">
        <v>2010</v>
      </c>
      <c r="I36" s="1">
        <v>4437.45</v>
      </c>
      <c r="J36" s="1">
        <v>5996.55</v>
      </c>
      <c r="K36" s="1">
        <v>4437.45</v>
      </c>
    </row>
    <row r="37" spans="1:11" x14ac:dyDescent="0.35">
      <c r="A37">
        <v>712507</v>
      </c>
      <c r="B37">
        <v>1958955</v>
      </c>
      <c r="C37" t="str">
        <f>"ALVARADO INDEP SCHOOL DISTRICT"</f>
        <v>ALVARADO INDEP SCHOOL DISTRICT</v>
      </c>
      <c r="D37" t="s">
        <v>11</v>
      </c>
      <c r="E37" t="s">
        <v>43</v>
      </c>
      <c r="F37" t="s">
        <v>44</v>
      </c>
      <c r="G37">
        <v>76009</v>
      </c>
      <c r="H37">
        <v>2010</v>
      </c>
      <c r="I37" s="1">
        <v>8658</v>
      </c>
      <c r="J37" s="1">
        <v>11700</v>
      </c>
      <c r="K37" s="1">
        <v>8658</v>
      </c>
    </row>
    <row r="38" spans="1:11" x14ac:dyDescent="0.35">
      <c r="A38">
        <v>739287</v>
      </c>
      <c r="B38">
        <v>2017204</v>
      </c>
      <c r="C38" t="str">
        <f>"ALVIN INDEP SCHOOL DISTRICT"</f>
        <v>ALVIN INDEP SCHOOL DISTRICT</v>
      </c>
      <c r="D38" t="s">
        <v>11</v>
      </c>
      <c r="E38" t="s">
        <v>45</v>
      </c>
      <c r="F38" t="s">
        <v>46</v>
      </c>
      <c r="G38">
        <v>77511</v>
      </c>
      <c r="H38">
        <v>2010</v>
      </c>
      <c r="I38" s="1">
        <v>16943.88</v>
      </c>
      <c r="J38" s="1">
        <v>24556.35</v>
      </c>
      <c r="K38" s="1">
        <v>16943.88</v>
      </c>
    </row>
    <row r="39" spans="1:11" x14ac:dyDescent="0.35">
      <c r="A39">
        <v>739287</v>
      </c>
      <c r="B39">
        <v>2017005</v>
      </c>
      <c r="C39" t="str">
        <f>"ALVIN INDEP SCHOOL DISTRICT"</f>
        <v>ALVIN INDEP SCHOOL DISTRICT</v>
      </c>
      <c r="D39" t="s">
        <v>11</v>
      </c>
      <c r="E39" t="s">
        <v>45</v>
      </c>
      <c r="F39" t="s">
        <v>46</v>
      </c>
      <c r="G39">
        <v>77511</v>
      </c>
      <c r="H39">
        <v>2010</v>
      </c>
      <c r="I39" s="1">
        <v>12668.23</v>
      </c>
      <c r="J39" s="1">
        <v>18359.759999999998</v>
      </c>
      <c r="K39" s="1">
        <v>11612.59</v>
      </c>
    </row>
    <row r="40" spans="1:11" x14ac:dyDescent="0.35">
      <c r="A40">
        <v>739287</v>
      </c>
      <c r="B40">
        <v>2017145</v>
      </c>
      <c r="C40" t="str">
        <f>"ALVIN INDEP SCHOOL DISTRICT"</f>
        <v>ALVIN INDEP SCHOOL DISTRICT</v>
      </c>
      <c r="D40" t="s">
        <v>11</v>
      </c>
      <c r="E40" t="s">
        <v>45</v>
      </c>
      <c r="F40" t="s">
        <v>46</v>
      </c>
      <c r="G40">
        <v>77511</v>
      </c>
      <c r="H40">
        <v>2010</v>
      </c>
      <c r="I40" s="1">
        <v>12420</v>
      </c>
      <c r="J40" s="1">
        <v>18000</v>
      </c>
      <c r="K40" s="1">
        <v>12420</v>
      </c>
    </row>
    <row r="41" spans="1:11" x14ac:dyDescent="0.35">
      <c r="A41">
        <v>756242</v>
      </c>
      <c r="B41">
        <v>2067934</v>
      </c>
      <c r="C41" t="str">
        <f>"ALVORD INDEP SCHOOL DISTRICT"</f>
        <v>ALVORD INDEP SCHOOL DISTRICT</v>
      </c>
      <c r="D41" t="s">
        <v>11</v>
      </c>
      <c r="E41" t="s">
        <v>47</v>
      </c>
      <c r="F41" t="s">
        <v>48</v>
      </c>
      <c r="G41">
        <v>76225</v>
      </c>
      <c r="H41">
        <v>2010</v>
      </c>
      <c r="I41" s="1">
        <v>1950</v>
      </c>
      <c r="J41" s="1">
        <v>3000</v>
      </c>
      <c r="K41" s="1">
        <v>1950</v>
      </c>
    </row>
    <row r="42" spans="1:11" x14ac:dyDescent="0.35">
      <c r="A42">
        <v>756242</v>
      </c>
      <c r="B42">
        <v>2067481</v>
      </c>
      <c r="C42" t="str">
        <f>"ALVORD INDEP SCHOOL DISTRICT"</f>
        <v>ALVORD INDEP SCHOOL DISTRICT</v>
      </c>
      <c r="D42" t="s">
        <v>11</v>
      </c>
      <c r="E42" t="s">
        <v>47</v>
      </c>
      <c r="F42" t="s">
        <v>48</v>
      </c>
      <c r="G42">
        <v>76225</v>
      </c>
      <c r="H42">
        <v>2010</v>
      </c>
      <c r="I42" s="1">
        <v>8938.7999999999993</v>
      </c>
      <c r="J42" s="1">
        <v>13752</v>
      </c>
      <c r="K42" s="1">
        <v>5214.3</v>
      </c>
    </row>
    <row r="43" spans="1:11" x14ac:dyDescent="0.35">
      <c r="A43">
        <v>764122</v>
      </c>
      <c r="B43">
        <v>2064630</v>
      </c>
      <c r="C43" t="str">
        <f>"AMARILLO INDEP SCHOOL DISTRICT"</f>
        <v>AMARILLO INDEP SCHOOL DISTRICT</v>
      </c>
      <c r="D43" t="s">
        <v>11</v>
      </c>
      <c r="E43" t="s">
        <v>49</v>
      </c>
      <c r="F43" t="s">
        <v>50</v>
      </c>
      <c r="G43">
        <v>79106</v>
      </c>
      <c r="H43">
        <v>2010</v>
      </c>
      <c r="I43" s="1">
        <v>0</v>
      </c>
      <c r="J43" s="1">
        <v>109812</v>
      </c>
      <c r="K43" s="1">
        <v>0</v>
      </c>
    </row>
    <row r="44" spans="1:11" x14ac:dyDescent="0.35">
      <c r="A44">
        <v>710780</v>
      </c>
      <c r="B44">
        <v>1939740</v>
      </c>
      <c r="C44" t="str">
        <f>"AMARILLO INDEP SCHOOL DISTRICT"</f>
        <v>AMARILLO INDEP SCHOOL DISTRICT</v>
      </c>
      <c r="D44" t="s">
        <v>11</v>
      </c>
      <c r="E44" t="s">
        <v>49</v>
      </c>
      <c r="F44" t="s">
        <v>50</v>
      </c>
      <c r="G44">
        <v>79106</v>
      </c>
      <c r="H44">
        <v>2010</v>
      </c>
      <c r="I44" s="1">
        <v>0</v>
      </c>
      <c r="J44" s="1">
        <v>0</v>
      </c>
    </row>
    <row r="45" spans="1:11" x14ac:dyDescent="0.35">
      <c r="A45">
        <v>758136</v>
      </c>
      <c r="B45">
        <v>2049495</v>
      </c>
      <c r="C45" t="str">
        <f>"AMARILLO INDEP SCHOOL DISTRICT"</f>
        <v>AMARILLO INDEP SCHOOL DISTRICT</v>
      </c>
      <c r="D45" t="s">
        <v>11</v>
      </c>
      <c r="E45" t="s">
        <v>49</v>
      </c>
      <c r="F45" t="s">
        <v>50</v>
      </c>
      <c r="G45">
        <v>79106</v>
      </c>
      <c r="H45">
        <v>2010</v>
      </c>
      <c r="I45" s="1">
        <v>25987.5</v>
      </c>
      <c r="J45" s="1">
        <v>34650</v>
      </c>
      <c r="K45" s="1">
        <v>25987.5</v>
      </c>
    </row>
    <row r="46" spans="1:11" x14ac:dyDescent="0.35">
      <c r="A46">
        <v>753405</v>
      </c>
      <c r="B46">
        <v>2036522</v>
      </c>
      <c r="C46" t="str">
        <f>"ANAHUAC INDEP SCHOOL DISTRICT"</f>
        <v>ANAHUAC INDEP SCHOOL DISTRICT</v>
      </c>
      <c r="D46" t="s">
        <v>11</v>
      </c>
      <c r="E46" t="s">
        <v>51</v>
      </c>
      <c r="F46" t="s">
        <v>52</v>
      </c>
      <c r="G46">
        <v>77514</v>
      </c>
      <c r="H46">
        <v>2010</v>
      </c>
      <c r="I46" s="1">
        <v>1767.12</v>
      </c>
      <c r="J46" s="1">
        <v>2388</v>
      </c>
    </row>
    <row r="47" spans="1:11" x14ac:dyDescent="0.35">
      <c r="A47">
        <v>753405</v>
      </c>
      <c r="B47">
        <v>2036397</v>
      </c>
      <c r="C47" t="str">
        <f>"ANAHUAC INDEP SCHOOL DISTRICT"</f>
        <v>ANAHUAC INDEP SCHOOL DISTRICT</v>
      </c>
      <c r="D47" t="s">
        <v>11</v>
      </c>
      <c r="E47" t="s">
        <v>51</v>
      </c>
      <c r="F47" t="s">
        <v>52</v>
      </c>
      <c r="G47">
        <v>77514</v>
      </c>
      <c r="H47">
        <v>2010</v>
      </c>
      <c r="I47" s="1">
        <v>10656</v>
      </c>
      <c r="J47" s="1">
        <v>14400</v>
      </c>
      <c r="K47" s="1">
        <v>10656</v>
      </c>
    </row>
    <row r="48" spans="1:11" x14ac:dyDescent="0.35">
      <c r="A48">
        <v>707908</v>
      </c>
      <c r="B48">
        <v>2007576</v>
      </c>
      <c r="C48" t="str">
        <f>"ANDERSON-SHIRO CONS SCH DIST"</f>
        <v>ANDERSON-SHIRO CONS SCH DIST</v>
      </c>
      <c r="D48" t="s">
        <v>11</v>
      </c>
      <c r="E48" t="s">
        <v>53</v>
      </c>
      <c r="F48" t="s">
        <v>54</v>
      </c>
      <c r="G48">
        <v>77830</v>
      </c>
      <c r="H48">
        <v>2010</v>
      </c>
      <c r="I48" s="1">
        <v>17073</v>
      </c>
      <c r="J48" s="1">
        <v>24390</v>
      </c>
      <c r="K48" s="1">
        <v>16526.66</v>
      </c>
    </row>
    <row r="49" spans="1:11" x14ac:dyDescent="0.35">
      <c r="A49">
        <v>707908</v>
      </c>
      <c r="B49">
        <v>2007700</v>
      </c>
      <c r="C49" t="str">
        <f>"ANDERSON-SHIRO CONS SCH DIST"</f>
        <v>ANDERSON-SHIRO CONS SCH DIST</v>
      </c>
      <c r="D49" t="s">
        <v>11</v>
      </c>
      <c r="E49" t="s">
        <v>53</v>
      </c>
      <c r="F49" t="s">
        <v>54</v>
      </c>
      <c r="G49">
        <v>77830</v>
      </c>
      <c r="H49">
        <v>2010</v>
      </c>
      <c r="I49" s="1">
        <v>5862.54</v>
      </c>
      <c r="J49" s="1">
        <v>8375.0499999999993</v>
      </c>
      <c r="K49" s="1">
        <v>5816.72</v>
      </c>
    </row>
    <row r="50" spans="1:11" x14ac:dyDescent="0.35">
      <c r="A50">
        <v>707908</v>
      </c>
      <c r="B50">
        <v>2007715</v>
      </c>
      <c r="C50" t="str">
        <f>"ANDERSON-SHIRO CONS SCH DIST"</f>
        <v>ANDERSON-SHIRO CONS SCH DIST</v>
      </c>
      <c r="D50" t="s">
        <v>11</v>
      </c>
      <c r="E50" t="s">
        <v>53</v>
      </c>
      <c r="F50" t="s">
        <v>54</v>
      </c>
      <c r="G50">
        <v>77830</v>
      </c>
      <c r="H50">
        <v>2010</v>
      </c>
      <c r="I50" s="1">
        <v>315</v>
      </c>
      <c r="J50" s="1">
        <v>450</v>
      </c>
      <c r="K50" s="1">
        <v>315</v>
      </c>
    </row>
    <row r="51" spans="1:11" x14ac:dyDescent="0.35">
      <c r="A51">
        <v>753049</v>
      </c>
      <c r="B51">
        <v>2035253</v>
      </c>
      <c r="C51" t="str">
        <f>"ANDREWS INDEP SCHOOL DISTRICT"</f>
        <v>ANDREWS INDEP SCHOOL DISTRICT</v>
      </c>
      <c r="D51" t="s">
        <v>11</v>
      </c>
      <c r="E51" t="s">
        <v>55</v>
      </c>
      <c r="F51" t="s">
        <v>56</v>
      </c>
      <c r="G51">
        <v>79714</v>
      </c>
      <c r="H51">
        <v>2010</v>
      </c>
      <c r="I51" s="1">
        <v>0</v>
      </c>
      <c r="J51" s="1">
        <v>0</v>
      </c>
    </row>
    <row r="52" spans="1:11" x14ac:dyDescent="0.35">
      <c r="A52">
        <v>756972</v>
      </c>
      <c r="B52">
        <v>2045662</v>
      </c>
      <c r="C52" t="str">
        <f>"ANDREWS INDEP SCHOOL DISTRICT"</f>
        <v>ANDREWS INDEP SCHOOL DISTRICT</v>
      </c>
      <c r="D52" t="s">
        <v>11</v>
      </c>
      <c r="E52" t="s">
        <v>55</v>
      </c>
      <c r="F52" t="s">
        <v>56</v>
      </c>
      <c r="G52">
        <v>79714</v>
      </c>
      <c r="H52">
        <v>2010</v>
      </c>
      <c r="I52" s="1">
        <v>4752</v>
      </c>
      <c r="J52" s="1">
        <v>6600</v>
      </c>
      <c r="K52" s="1">
        <v>3801.6</v>
      </c>
    </row>
    <row r="53" spans="1:11" x14ac:dyDescent="0.35">
      <c r="A53">
        <v>725229</v>
      </c>
      <c r="B53">
        <v>1976808</v>
      </c>
      <c r="C53" t="str">
        <f>"ANDREWS INDEP SCHOOL DISTRICT"</f>
        <v>ANDREWS INDEP SCHOOL DISTRICT</v>
      </c>
      <c r="D53" t="s">
        <v>11</v>
      </c>
      <c r="E53" t="s">
        <v>55</v>
      </c>
      <c r="F53" t="s">
        <v>56</v>
      </c>
      <c r="G53">
        <v>79714</v>
      </c>
      <c r="H53">
        <v>2010</v>
      </c>
      <c r="I53" s="1">
        <v>3414.53</v>
      </c>
      <c r="J53" s="1">
        <v>4742.3999999999996</v>
      </c>
    </row>
    <row r="54" spans="1:11" x14ac:dyDescent="0.35">
      <c r="A54">
        <v>725229</v>
      </c>
      <c r="B54">
        <v>1972421</v>
      </c>
      <c r="C54" t="str">
        <f>"ANDREWS INDEP SCHOOL DISTRICT"</f>
        <v>ANDREWS INDEP SCHOOL DISTRICT</v>
      </c>
      <c r="D54" t="s">
        <v>11</v>
      </c>
      <c r="E54" t="s">
        <v>55</v>
      </c>
      <c r="F54" t="s">
        <v>56</v>
      </c>
      <c r="G54">
        <v>79714</v>
      </c>
      <c r="H54">
        <v>2010</v>
      </c>
      <c r="I54" s="1">
        <v>8208</v>
      </c>
      <c r="J54" s="1">
        <v>11400</v>
      </c>
      <c r="K54" s="1">
        <v>6156</v>
      </c>
    </row>
    <row r="55" spans="1:11" x14ac:dyDescent="0.35">
      <c r="A55">
        <v>730625</v>
      </c>
      <c r="B55">
        <v>1980621</v>
      </c>
      <c r="C55" t="str">
        <f>"ANGLETON INDEP SCHOOL DISTRICT"</f>
        <v>ANGLETON INDEP SCHOOL DISTRICT</v>
      </c>
      <c r="D55" t="s">
        <v>11</v>
      </c>
      <c r="E55" t="s">
        <v>57</v>
      </c>
      <c r="F55" t="s">
        <v>58</v>
      </c>
      <c r="G55">
        <v>77515</v>
      </c>
      <c r="H55">
        <v>2010</v>
      </c>
      <c r="I55" s="1">
        <v>2575.1999999999998</v>
      </c>
      <c r="J55" s="1">
        <v>3480</v>
      </c>
      <c r="K55" s="1">
        <v>2575.1999999999998</v>
      </c>
    </row>
    <row r="56" spans="1:11" x14ac:dyDescent="0.35">
      <c r="A56">
        <v>730625</v>
      </c>
      <c r="B56">
        <v>1980584</v>
      </c>
      <c r="C56" t="str">
        <f>"ANGLETON INDEP SCHOOL DISTRICT"</f>
        <v>ANGLETON INDEP SCHOOL DISTRICT</v>
      </c>
      <c r="D56" t="s">
        <v>11</v>
      </c>
      <c r="E56" t="s">
        <v>57</v>
      </c>
      <c r="F56" t="s">
        <v>58</v>
      </c>
      <c r="G56">
        <v>77515</v>
      </c>
      <c r="H56">
        <v>2010</v>
      </c>
      <c r="I56" s="1">
        <v>6216</v>
      </c>
      <c r="J56" s="1">
        <v>8400</v>
      </c>
      <c r="K56" s="1">
        <v>2384.61</v>
      </c>
    </row>
    <row r="57" spans="1:11" x14ac:dyDescent="0.35">
      <c r="A57">
        <v>730625</v>
      </c>
      <c r="B57">
        <v>1980594</v>
      </c>
      <c r="C57" t="str">
        <f>"ANGLETON INDEP SCHOOL DISTRICT"</f>
        <v>ANGLETON INDEP SCHOOL DISTRICT</v>
      </c>
      <c r="D57" t="s">
        <v>11</v>
      </c>
      <c r="E57" t="s">
        <v>57</v>
      </c>
      <c r="F57" t="s">
        <v>58</v>
      </c>
      <c r="G57">
        <v>77515</v>
      </c>
      <c r="H57">
        <v>2010</v>
      </c>
      <c r="I57" s="1">
        <v>1174.47</v>
      </c>
      <c r="J57" s="1">
        <v>1587.12</v>
      </c>
      <c r="K57" s="1">
        <v>1174.3800000000001</v>
      </c>
    </row>
    <row r="58" spans="1:11" x14ac:dyDescent="0.35">
      <c r="A58">
        <v>730625</v>
      </c>
      <c r="B58">
        <v>1980639</v>
      </c>
      <c r="C58" t="str">
        <f>"ANGLETON INDEP SCHOOL DISTRICT"</f>
        <v>ANGLETON INDEP SCHOOL DISTRICT</v>
      </c>
      <c r="D58" t="s">
        <v>11</v>
      </c>
      <c r="E58" t="s">
        <v>57</v>
      </c>
      <c r="F58" t="s">
        <v>58</v>
      </c>
      <c r="G58">
        <v>77515</v>
      </c>
      <c r="H58">
        <v>2010</v>
      </c>
      <c r="I58" s="1">
        <v>22200</v>
      </c>
      <c r="J58" s="1">
        <v>30000</v>
      </c>
      <c r="K58" s="1">
        <v>22200</v>
      </c>
    </row>
    <row r="59" spans="1:11" x14ac:dyDescent="0.35">
      <c r="A59">
        <v>730625</v>
      </c>
      <c r="B59">
        <v>1980797</v>
      </c>
      <c r="C59" t="str">
        <f>"ANGLETON INDEP SCHOOL DISTRICT"</f>
        <v>ANGLETON INDEP SCHOOL DISTRICT</v>
      </c>
      <c r="D59" t="s">
        <v>11</v>
      </c>
      <c r="E59" t="s">
        <v>57</v>
      </c>
      <c r="F59" t="s">
        <v>58</v>
      </c>
      <c r="G59">
        <v>77515</v>
      </c>
      <c r="H59">
        <v>2010</v>
      </c>
      <c r="I59" s="1">
        <v>11303.09</v>
      </c>
      <c r="J59" s="1">
        <v>15274.44</v>
      </c>
    </row>
    <row r="60" spans="1:11" x14ac:dyDescent="0.35">
      <c r="A60">
        <v>748684</v>
      </c>
      <c r="B60">
        <v>2057274</v>
      </c>
      <c r="C60" t="str">
        <f>"ANTHONY INDEP SCHOOL DISTRICT"</f>
        <v>ANTHONY INDEP SCHOOL DISTRICT</v>
      </c>
      <c r="D60" t="s">
        <v>11</v>
      </c>
      <c r="E60" t="s">
        <v>59</v>
      </c>
      <c r="F60" t="s">
        <v>60</v>
      </c>
      <c r="G60">
        <v>79821</v>
      </c>
      <c r="H60">
        <v>2010</v>
      </c>
      <c r="I60" s="1">
        <v>32400</v>
      </c>
      <c r="J60" s="1">
        <v>36000</v>
      </c>
    </row>
    <row r="61" spans="1:11" x14ac:dyDescent="0.35">
      <c r="A61">
        <v>726784</v>
      </c>
      <c r="B61">
        <v>1967778</v>
      </c>
      <c r="C61" t="str">
        <f>"APPLE SPRINGS INDEP SCH DIST"</f>
        <v>APPLE SPRINGS INDEP SCH DIST</v>
      </c>
      <c r="D61" t="s">
        <v>11</v>
      </c>
      <c r="E61" t="s">
        <v>61</v>
      </c>
      <c r="F61" t="s">
        <v>62</v>
      </c>
      <c r="G61">
        <v>75926</v>
      </c>
      <c r="H61">
        <v>2010</v>
      </c>
      <c r="I61" s="1">
        <v>6700.04</v>
      </c>
      <c r="J61" s="1">
        <v>8375.0499999999993</v>
      </c>
      <c r="K61" s="1">
        <v>6700.04</v>
      </c>
    </row>
    <row r="62" spans="1:11" x14ac:dyDescent="0.35">
      <c r="A62">
        <v>726284</v>
      </c>
      <c r="B62">
        <v>1966502</v>
      </c>
      <c r="C62" t="str">
        <f>"APPLE SPRINGS INDEP SCH DIST"</f>
        <v>APPLE SPRINGS INDEP SCH DIST</v>
      </c>
      <c r="D62" t="s">
        <v>11</v>
      </c>
      <c r="E62" t="s">
        <v>61</v>
      </c>
      <c r="F62" t="s">
        <v>62</v>
      </c>
      <c r="G62">
        <v>75926</v>
      </c>
      <c r="H62">
        <v>2010</v>
      </c>
      <c r="I62" s="1">
        <v>14904</v>
      </c>
      <c r="J62" s="1">
        <v>18630</v>
      </c>
      <c r="K62" s="1">
        <v>14904</v>
      </c>
    </row>
    <row r="63" spans="1:11" x14ac:dyDescent="0.35">
      <c r="A63">
        <v>735029</v>
      </c>
      <c r="B63">
        <v>1986496</v>
      </c>
      <c r="C63" t="str">
        <f>"APPLE SPRINGS INDEP SCH DIST"</f>
        <v>APPLE SPRINGS INDEP SCH DIST</v>
      </c>
      <c r="D63" t="s">
        <v>11</v>
      </c>
      <c r="E63" t="s">
        <v>61</v>
      </c>
      <c r="F63" t="s">
        <v>62</v>
      </c>
      <c r="G63">
        <v>75926</v>
      </c>
      <c r="H63">
        <v>2010</v>
      </c>
      <c r="I63" s="1">
        <v>480</v>
      </c>
      <c r="J63" s="1">
        <v>600</v>
      </c>
      <c r="K63" s="1">
        <v>480</v>
      </c>
    </row>
    <row r="64" spans="1:11" x14ac:dyDescent="0.35">
      <c r="A64">
        <v>711545</v>
      </c>
      <c r="B64">
        <v>1940793</v>
      </c>
      <c r="C64" t="str">
        <f>"AQUILLA INDEP SCHOOL DISTRICT"</f>
        <v>AQUILLA INDEP SCHOOL DISTRICT</v>
      </c>
      <c r="D64" t="s">
        <v>11</v>
      </c>
      <c r="E64" t="s">
        <v>63</v>
      </c>
      <c r="F64" t="s">
        <v>64</v>
      </c>
      <c r="G64">
        <v>76622</v>
      </c>
      <c r="H64">
        <v>2010</v>
      </c>
      <c r="I64" s="1">
        <v>18096</v>
      </c>
      <c r="J64" s="1">
        <v>22620</v>
      </c>
      <c r="K64" s="1">
        <v>18096</v>
      </c>
    </row>
    <row r="65" spans="1:11" x14ac:dyDescent="0.35">
      <c r="A65">
        <v>749997</v>
      </c>
      <c r="B65">
        <v>2035729</v>
      </c>
      <c r="C65" t="str">
        <f>"ARANSAS COUNTY INDEP SCH DIST"</f>
        <v>ARANSAS COUNTY INDEP SCH DIST</v>
      </c>
      <c r="D65" t="s">
        <v>11</v>
      </c>
      <c r="E65" t="s">
        <v>65</v>
      </c>
      <c r="F65" t="s">
        <v>66</v>
      </c>
      <c r="G65">
        <v>78382</v>
      </c>
      <c r="H65">
        <v>2010</v>
      </c>
      <c r="I65" s="1">
        <v>6075</v>
      </c>
      <c r="J65" s="1">
        <v>7500</v>
      </c>
      <c r="K65" s="1">
        <v>6075</v>
      </c>
    </row>
    <row r="66" spans="1:11" x14ac:dyDescent="0.35">
      <c r="A66">
        <v>749997</v>
      </c>
      <c r="B66">
        <v>2122997</v>
      </c>
      <c r="C66" t="str">
        <f>"ARANSAS COUNTY INDEP SCH DIST"</f>
        <v>ARANSAS COUNTY INDEP SCH DIST</v>
      </c>
      <c r="D66" t="s">
        <v>11</v>
      </c>
      <c r="E66" t="s">
        <v>65</v>
      </c>
      <c r="F66" t="s">
        <v>66</v>
      </c>
      <c r="G66">
        <v>78382</v>
      </c>
      <c r="H66">
        <v>2010</v>
      </c>
      <c r="I66" s="1">
        <v>6075</v>
      </c>
      <c r="J66" s="1">
        <v>7500</v>
      </c>
    </row>
    <row r="67" spans="1:11" x14ac:dyDescent="0.35">
      <c r="A67">
        <v>749997</v>
      </c>
      <c r="B67">
        <v>2035759</v>
      </c>
      <c r="C67" t="str">
        <f>"ARANSAS COUNTY INDEP SCH DIST"</f>
        <v>ARANSAS COUNTY INDEP SCH DIST</v>
      </c>
      <c r="D67" t="s">
        <v>11</v>
      </c>
      <c r="E67" t="s">
        <v>65</v>
      </c>
      <c r="F67" t="s">
        <v>66</v>
      </c>
      <c r="G67">
        <v>78382</v>
      </c>
      <c r="H67">
        <v>2010</v>
      </c>
      <c r="I67" s="1">
        <v>11340.03</v>
      </c>
      <c r="J67" s="1">
        <v>14000.04</v>
      </c>
      <c r="K67" s="1">
        <v>11340</v>
      </c>
    </row>
    <row r="68" spans="1:11" x14ac:dyDescent="0.35">
      <c r="A68">
        <v>734339</v>
      </c>
      <c r="B68">
        <v>2013501</v>
      </c>
      <c r="C68" t="str">
        <f>"ARANSAS PASS INDEP SCHOOL DIST"</f>
        <v>ARANSAS PASS INDEP SCHOOL DIST</v>
      </c>
      <c r="D68" t="s">
        <v>11</v>
      </c>
      <c r="E68" t="s">
        <v>67</v>
      </c>
      <c r="F68" t="s">
        <v>68</v>
      </c>
      <c r="G68">
        <v>78336</v>
      </c>
      <c r="H68">
        <v>2010</v>
      </c>
      <c r="I68" s="1">
        <v>5846.4</v>
      </c>
      <c r="J68" s="1">
        <v>6960</v>
      </c>
    </row>
    <row r="69" spans="1:11" x14ac:dyDescent="0.35">
      <c r="A69">
        <v>727407</v>
      </c>
      <c r="B69">
        <v>1968966</v>
      </c>
      <c r="C69" t="str">
        <f>"ARCHER CITY SCHOOL DISTRICT"</f>
        <v>ARCHER CITY SCHOOL DISTRICT</v>
      </c>
      <c r="D69" t="s">
        <v>11</v>
      </c>
      <c r="E69" t="s">
        <v>69</v>
      </c>
      <c r="F69" t="s">
        <v>70</v>
      </c>
      <c r="G69">
        <v>76351</v>
      </c>
      <c r="H69">
        <v>2010</v>
      </c>
      <c r="I69" s="1">
        <v>760.25</v>
      </c>
      <c r="J69" s="1">
        <v>1382.28</v>
      </c>
      <c r="K69" s="1">
        <v>760.24</v>
      </c>
    </row>
    <row r="70" spans="1:11" x14ac:dyDescent="0.35">
      <c r="A70">
        <v>727407</v>
      </c>
      <c r="B70">
        <v>1968946</v>
      </c>
      <c r="C70" t="str">
        <f>"ARCHER CITY SCHOOL DISTRICT"</f>
        <v>ARCHER CITY SCHOOL DISTRICT</v>
      </c>
      <c r="D70" t="s">
        <v>11</v>
      </c>
      <c r="E70" t="s">
        <v>69</v>
      </c>
      <c r="F70" t="s">
        <v>70</v>
      </c>
      <c r="G70">
        <v>76351</v>
      </c>
      <c r="H70">
        <v>2010</v>
      </c>
      <c r="I70" s="1">
        <v>286</v>
      </c>
      <c r="J70" s="1">
        <v>520</v>
      </c>
      <c r="K70" s="1">
        <v>286</v>
      </c>
    </row>
    <row r="71" spans="1:11" x14ac:dyDescent="0.35">
      <c r="A71">
        <v>727407</v>
      </c>
      <c r="B71">
        <v>1968898</v>
      </c>
      <c r="C71" t="str">
        <f>"ARCHER CITY SCHOOL DISTRICT"</f>
        <v>ARCHER CITY SCHOOL DISTRICT</v>
      </c>
      <c r="D71" t="s">
        <v>11</v>
      </c>
      <c r="E71" t="s">
        <v>69</v>
      </c>
      <c r="F71" t="s">
        <v>70</v>
      </c>
      <c r="G71">
        <v>76351</v>
      </c>
      <c r="H71">
        <v>2010</v>
      </c>
      <c r="I71" s="1">
        <v>4559.9399999999996</v>
      </c>
      <c r="J71" s="1">
        <v>8290.7999999999993</v>
      </c>
      <c r="K71" s="1">
        <v>4559.9399999999996</v>
      </c>
    </row>
    <row r="72" spans="1:11" x14ac:dyDescent="0.35">
      <c r="A72">
        <v>741750</v>
      </c>
      <c r="B72">
        <v>2021477</v>
      </c>
      <c r="C72" t="str">
        <f>"ARLINGTON CLASSICS ACADEMY"</f>
        <v>ARLINGTON CLASSICS ACADEMY</v>
      </c>
      <c r="D72" t="s">
        <v>11</v>
      </c>
      <c r="E72" t="s">
        <v>71</v>
      </c>
      <c r="F72" t="s">
        <v>72</v>
      </c>
      <c r="G72">
        <v>76016</v>
      </c>
      <c r="H72">
        <v>2010</v>
      </c>
      <c r="I72" s="1">
        <v>0</v>
      </c>
      <c r="J72" s="1">
        <v>0</v>
      </c>
    </row>
    <row r="73" spans="1:11" x14ac:dyDescent="0.35">
      <c r="A73">
        <v>741750</v>
      </c>
      <c r="B73">
        <v>2021473</v>
      </c>
      <c r="C73" t="str">
        <f>"ARLINGTON CLASSICS ACADEMY"</f>
        <v>ARLINGTON CLASSICS ACADEMY</v>
      </c>
      <c r="D73" t="s">
        <v>11</v>
      </c>
      <c r="E73" t="s">
        <v>71</v>
      </c>
      <c r="F73" t="s">
        <v>72</v>
      </c>
      <c r="G73">
        <v>76016</v>
      </c>
      <c r="H73">
        <v>2010</v>
      </c>
      <c r="I73" s="1">
        <v>0</v>
      </c>
      <c r="J73" s="1">
        <v>0</v>
      </c>
    </row>
    <row r="74" spans="1:11" x14ac:dyDescent="0.35">
      <c r="A74">
        <v>732421</v>
      </c>
      <c r="B74">
        <v>1980863</v>
      </c>
      <c r="C74" t="str">
        <f>"ARLINGTON INDEP SCHOOL DIST"</f>
        <v>ARLINGTON INDEP SCHOOL DIST</v>
      </c>
      <c r="D74" t="s">
        <v>11</v>
      </c>
      <c r="E74" t="s">
        <v>73</v>
      </c>
      <c r="F74" t="s">
        <v>72</v>
      </c>
      <c r="G74">
        <v>76013</v>
      </c>
      <c r="H74">
        <v>2010</v>
      </c>
      <c r="I74" s="1">
        <v>34080</v>
      </c>
      <c r="J74" s="1">
        <v>48000</v>
      </c>
      <c r="K74" s="1">
        <v>34080</v>
      </c>
    </row>
    <row r="75" spans="1:11" x14ac:dyDescent="0.35">
      <c r="A75">
        <v>746678</v>
      </c>
      <c r="B75">
        <v>2016004</v>
      </c>
      <c r="C75" t="str">
        <f>"ARP INDEPENDENT SCHOOL DIST"</f>
        <v>ARP INDEPENDENT SCHOOL DIST</v>
      </c>
      <c r="D75" t="s">
        <v>11</v>
      </c>
      <c r="E75" t="s">
        <v>74</v>
      </c>
      <c r="F75" t="s">
        <v>75</v>
      </c>
      <c r="G75">
        <v>75750</v>
      </c>
      <c r="H75">
        <v>2010</v>
      </c>
      <c r="I75" s="1">
        <v>9324</v>
      </c>
      <c r="J75" s="1">
        <v>12600</v>
      </c>
      <c r="K75" s="1">
        <v>9324</v>
      </c>
    </row>
    <row r="76" spans="1:11" x14ac:dyDescent="0.35">
      <c r="A76">
        <v>764057</v>
      </c>
      <c r="B76">
        <v>2064508</v>
      </c>
      <c r="C76" t="str">
        <f>"ATHENS INDEP SCHOOL DISTRICT"</f>
        <v>ATHENS INDEP SCHOOL DISTRICT</v>
      </c>
      <c r="D76" t="s">
        <v>11</v>
      </c>
      <c r="E76" t="s">
        <v>76</v>
      </c>
      <c r="F76" t="s">
        <v>77</v>
      </c>
      <c r="G76">
        <v>75751</v>
      </c>
      <c r="H76">
        <v>2010</v>
      </c>
      <c r="I76" s="1">
        <v>27360</v>
      </c>
      <c r="J76" s="1">
        <v>36000</v>
      </c>
      <c r="K76" s="1">
        <v>27360</v>
      </c>
    </row>
    <row r="77" spans="1:11" x14ac:dyDescent="0.35">
      <c r="A77">
        <v>764057</v>
      </c>
      <c r="B77">
        <v>2064633</v>
      </c>
      <c r="C77" t="str">
        <f>"ATHENS INDEP SCHOOL DISTRICT"</f>
        <v>ATHENS INDEP SCHOOL DISTRICT</v>
      </c>
      <c r="D77" t="s">
        <v>11</v>
      </c>
      <c r="E77" t="s">
        <v>76</v>
      </c>
      <c r="F77" t="s">
        <v>77</v>
      </c>
      <c r="G77">
        <v>75751</v>
      </c>
      <c r="H77">
        <v>2010</v>
      </c>
      <c r="I77" s="1">
        <v>2924.15</v>
      </c>
      <c r="J77" s="1">
        <v>3847.56</v>
      </c>
      <c r="K77" s="1">
        <v>2432</v>
      </c>
    </row>
    <row r="78" spans="1:11" x14ac:dyDescent="0.35">
      <c r="A78">
        <v>764057</v>
      </c>
      <c r="B78">
        <v>2064566</v>
      </c>
      <c r="C78" t="str">
        <f>"ATHENS INDEP SCHOOL DISTRICT"</f>
        <v>ATHENS INDEP SCHOOL DISTRICT</v>
      </c>
      <c r="D78" t="s">
        <v>11</v>
      </c>
      <c r="E78" t="s">
        <v>76</v>
      </c>
      <c r="F78" t="s">
        <v>77</v>
      </c>
      <c r="G78">
        <v>75751</v>
      </c>
      <c r="H78">
        <v>2010</v>
      </c>
      <c r="I78" s="1">
        <v>16724.099999999999</v>
      </c>
      <c r="J78" s="1">
        <v>22005.4</v>
      </c>
      <c r="K78" s="1">
        <v>11401.83</v>
      </c>
    </row>
    <row r="79" spans="1:11" x14ac:dyDescent="0.35">
      <c r="A79">
        <v>736378</v>
      </c>
      <c r="B79">
        <v>1989754</v>
      </c>
      <c r="C79" t="str">
        <f t="shared" ref="C79:C84" si="1">"ATLANTA INDEP SCHOOL DISTRICT"</f>
        <v>ATLANTA INDEP SCHOOL DISTRICT</v>
      </c>
      <c r="D79" t="s">
        <v>11</v>
      </c>
      <c r="E79" t="s">
        <v>78</v>
      </c>
      <c r="F79" t="s">
        <v>79</v>
      </c>
      <c r="G79">
        <v>75551</v>
      </c>
      <c r="H79">
        <v>2010</v>
      </c>
      <c r="I79" s="1">
        <v>4706.16</v>
      </c>
      <c r="J79" s="1">
        <v>8584.32</v>
      </c>
      <c r="K79" s="1">
        <v>4706.16</v>
      </c>
    </row>
    <row r="80" spans="1:11" x14ac:dyDescent="0.35">
      <c r="A80">
        <v>736378</v>
      </c>
      <c r="B80">
        <v>1989770</v>
      </c>
      <c r="C80" t="str">
        <f t="shared" si="1"/>
        <v>ATLANTA INDEP SCHOOL DISTRICT</v>
      </c>
      <c r="D80" t="s">
        <v>11</v>
      </c>
      <c r="E80" t="s">
        <v>78</v>
      </c>
      <c r="F80" t="s">
        <v>79</v>
      </c>
      <c r="G80">
        <v>75551</v>
      </c>
      <c r="H80">
        <v>2010</v>
      </c>
      <c r="I80" s="1">
        <v>0</v>
      </c>
      <c r="J80" s="1">
        <v>0</v>
      </c>
    </row>
    <row r="81" spans="1:11" x14ac:dyDescent="0.35">
      <c r="A81">
        <v>736378</v>
      </c>
      <c r="B81">
        <v>1989784</v>
      </c>
      <c r="C81" t="str">
        <f t="shared" si="1"/>
        <v>ATLANTA INDEP SCHOOL DISTRICT</v>
      </c>
      <c r="D81" t="s">
        <v>11</v>
      </c>
      <c r="E81" t="s">
        <v>78</v>
      </c>
      <c r="F81" t="s">
        <v>79</v>
      </c>
      <c r="G81">
        <v>75551</v>
      </c>
      <c r="H81">
        <v>2010</v>
      </c>
      <c r="I81" s="1">
        <v>1566</v>
      </c>
      <c r="J81" s="1">
        <v>1957.5</v>
      </c>
      <c r="K81" s="1">
        <v>1566</v>
      </c>
    </row>
    <row r="82" spans="1:11" x14ac:dyDescent="0.35">
      <c r="A82">
        <v>736378</v>
      </c>
      <c r="B82">
        <v>2011917</v>
      </c>
      <c r="C82" t="str">
        <f t="shared" si="1"/>
        <v>ATLANTA INDEP SCHOOL DISTRICT</v>
      </c>
      <c r="D82" t="s">
        <v>11</v>
      </c>
      <c r="E82" t="s">
        <v>78</v>
      </c>
      <c r="F82" t="s">
        <v>79</v>
      </c>
      <c r="G82">
        <v>75551</v>
      </c>
      <c r="H82">
        <v>2010</v>
      </c>
      <c r="I82" s="1">
        <v>455.85</v>
      </c>
      <c r="J82" s="1">
        <v>22794</v>
      </c>
      <c r="K82" s="1">
        <v>455.85</v>
      </c>
    </row>
    <row r="83" spans="1:11" x14ac:dyDescent="0.35">
      <c r="A83">
        <v>736378</v>
      </c>
      <c r="B83">
        <v>2010615</v>
      </c>
      <c r="C83" t="str">
        <f t="shared" si="1"/>
        <v>ATLANTA INDEP SCHOOL DISTRICT</v>
      </c>
      <c r="D83" t="s">
        <v>11</v>
      </c>
      <c r="E83" t="s">
        <v>78</v>
      </c>
      <c r="F83" t="s">
        <v>79</v>
      </c>
      <c r="G83">
        <v>75551</v>
      </c>
      <c r="H83">
        <v>2010</v>
      </c>
      <c r="I83" s="1">
        <v>0</v>
      </c>
      <c r="J83" s="1">
        <v>0</v>
      </c>
    </row>
    <row r="84" spans="1:11" x14ac:dyDescent="0.35">
      <c r="A84">
        <v>736378</v>
      </c>
      <c r="B84">
        <v>1989747</v>
      </c>
      <c r="C84" t="str">
        <f t="shared" si="1"/>
        <v>ATLANTA INDEP SCHOOL DISTRICT</v>
      </c>
      <c r="D84" t="s">
        <v>11</v>
      </c>
      <c r="E84" t="s">
        <v>78</v>
      </c>
      <c r="F84" t="s">
        <v>79</v>
      </c>
      <c r="G84">
        <v>75551</v>
      </c>
      <c r="H84">
        <v>2010</v>
      </c>
      <c r="I84" s="1">
        <v>707.62</v>
      </c>
      <c r="J84" s="1">
        <v>884.52</v>
      </c>
      <c r="K84" s="1">
        <v>707.62</v>
      </c>
    </row>
    <row r="85" spans="1:11" x14ac:dyDescent="0.35">
      <c r="A85">
        <v>721847</v>
      </c>
      <c r="B85">
        <v>1957630</v>
      </c>
      <c r="C85" t="str">
        <f>"AUBREY INDEP SCHOOL DISTRICT"</f>
        <v>AUBREY INDEP SCHOOL DISTRICT</v>
      </c>
      <c r="D85" t="s">
        <v>11</v>
      </c>
      <c r="E85" t="s">
        <v>80</v>
      </c>
      <c r="F85" t="s">
        <v>81</v>
      </c>
      <c r="G85">
        <v>76227</v>
      </c>
      <c r="H85">
        <v>2010</v>
      </c>
      <c r="I85" s="1">
        <v>15381.6</v>
      </c>
      <c r="J85" s="1">
        <v>29580</v>
      </c>
      <c r="K85" s="1">
        <v>9228.9599999999991</v>
      </c>
    </row>
    <row r="86" spans="1:11" x14ac:dyDescent="0.35">
      <c r="A86">
        <v>721847</v>
      </c>
      <c r="B86">
        <v>1957608</v>
      </c>
      <c r="C86" t="str">
        <f>"AUBREY INDEP SCHOOL DISTRICT"</f>
        <v>AUBREY INDEP SCHOOL DISTRICT</v>
      </c>
      <c r="D86" t="s">
        <v>11</v>
      </c>
      <c r="E86" t="s">
        <v>80</v>
      </c>
      <c r="F86" t="s">
        <v>81</v>
      </c>
      <c r="G86">
        <v>76227</v>
      </c>
      <c r="H86">
        <v>2010</v>
      </c>
      <c r="I86" s="1">
        <v>1700.4</v>
      </c>
      <c r="J86" s="1">
        <v>3270</v>
      </c>
      <c r="K86" s="1">
        <v>1700.4</v>
      </c>
    </row>
    <row r="87" spans="1:11" x14ac:dyDescent="0.35">
      <c r="A87">
        <v>726630</v>
      </c>
      <c r="B87">
        <v>2015574</v>
      </c>
      <c r="C87" t="str">
        <f>"AUSTIN INDEP SCHOOL DISTRICT"</f>
        <v>AUSTIN INDEP SCHOOL DISTRICT</v>
      </c>
      <c r="D87" t="s">
        <v>11</v>
      </c>
      <c r="E87" t="s">
        <v>82</v>
      </c>
      <c r="F87" t="s">
        <v>83</v>
      </c>
      <c r="G87">
        <v>78703</v>
      </c>
      <c r="H87">
        <v>2010</v>
      </c>
      <c r="I87" s="1">
        <v>168258.24</v>
      </c>
      <c r="J87" s="1">
        <v>227376</v>
      </c>
      <c r="K87" s="1">
        <v>143309.44</v>
      </c>
    </row>
    <row r="88" spans="1:11" x14ac:dyDescent="0.35">
      <c r="A88">
        <v>760853</v>
      </c>
      <c r="B88">
        <v>2071080</v>
      </c>
      <c r="C88" t="str">
        <f>"AUSTWELL-TIVOLI INDEP SCH DIST"</f>
        <v>AUSTWELL-TIVOLI INDEP SCH DIST</v>
      </c>
      <c r="D88" t="s">
        <v>11</v>
      </c>
      <c r="E88" t="s">
        <v>84</v>
      </c>
      <c r="F88" t="s">
        <v>85</v>
      </c>
      <c r="G88">
        <v>77990</v>
      </c>
      <c r="H88">
        <v>2010</v>
      </c>
      <c r="I88" s="1">
        <v>384</v>
      </c>
      <c r="J88" s="1">
        <v>480</v>
      </c>
      <c r="K88" s="1">
        <v>384</v>
      </c>
    </row>
    <row r="89" spans="1:11" x14ac:dyDescent="0.35">
      <c r="A89">
        <v>760853</v>
      </c>
      <c r="B89">
        <v>2055754</v>
      </c>
      <c r="C89" t="str">
        <f>"AUSTWELL-TIVOLI INDEP SCH DIST"</f>
        <v>AUSTWELL-TIVOLI INDEP SCH DIST</v>
      </c>
      <c r="D89" t="s">
        <v>11</v>
      </c>
      <c r="E89" t="s">
        <v>84</v>
      </c>
      <c r="F89" t="s">
        <v>85</v>
      </c>
      <c r="G89">
        <v>77990</v>
      </c>
      <c r="H89">
        <v>2010</v>
      </c>
      <c r="I89" s="1">
        <v>13968</v>
      </c>
      <c r="J89" s="1">
        <v>17460</v>
      </c>
      <c r="K89" s="1">
        <v>12167</v>
      </c>
    </row>
    <row r="90" spans="1:11" x14ac:dyDescent="0.35">
      <c r="A90">
        <v>732370</v>
      </c>
      <c r="B90">
        <v>1980608</v>
      </c>
      <c r="C90" t="str">
        <f>"AVALON INDEP SCHOOL DISTRICT"</f>
        <v>AVALON INDEP SCHOOL DISTRICT</v>
      </c>
      <c r="D90" t="s">
        <v>11</v>
      </c>
      <c r="E90" t="s">
        <v>86</v>
      </c>
      <c r="F90" t="s">
        <v>87</v>
      </c>
      <c r="G90">
        <v>76623</v>
      </c>
      <c r="H90">
        <v>2010</v>
      </c>
      <c r="I90" s="1">
        <v>879.42</v>
      </c>
      <c r="J90" s="1">
        <v>1099.28</v>
      </c>
      <c r="K90" s="1">
        <v>879.42</v>
      </c>
    </row>
    <row r="91" spans="1:11" x14ac:dyDescent="0.35">
      <c r="A91">
        <v>720306</v>
      </c>
      <c r="B91">
        <v>1954527</v>
      </c>
      <c r="C91" t="str">
        <f>"AVINGER INDEP SCHOOL DISTRICT"</f>
        <v>AVINGER INDEP SCHOOL DISTRICT</v>
      </c>
      <c r="D91" t="s">
        <v>11</v>
      </c>
      <c r="E91" t="s">
        <v>88</v>
      </c>
      <c r="F91" t="s">
        <v>89</v>
      </c>
      <c r="G91">
        <v>75630</v>
      </c>
      <c r="H91">
        <v>2010</v>
      </c>
      <c r="I91" s="1">
        <v>704.95</v>
      </c>
      <c r="J91" s="1">
        <v>829.35</v>
      </c>
      <c r="K91" s="1">
        <v>704.95</v>
      </c>
    </row>
    <row r="92" spans="1:11" x14ac:dyDescent="0.35">
      <c r="A92">
        <v>739962</v>
      </c>
      <c r="B92">
        <v>1999039</v>
      </c>
      <c r="C92" t="str">
        <f>"AXTELL INDEP SCHOOL DISTRICT"</f>
        <v>AXTELL INDEP SCHOOL DISTRICT</v>
      </c>
      <c r="D92" t="s">
        <v>11</v>
      </c>
      <c r="E92" t="s">
        <v>90</v>
      </c>
      <c r="F92" t="s">
        <v>91</v>
      </c>
      <c r="G92">
        <v>76624</v>
      </c>
      <c r="H92">
        <v>2010</v>
      </c>
      <c r="I92" s="1">
        <v>643.79999999999995</v>
      </c>
      <c r="J92" s="1">
        <v>870</v>
      </c>
      <c r="K92" s="1">
        <v>643.79999999999995</v>
      </c>
    </row>
    <row r="93" spans="1:11" x14ac:dyDescent="0.35">
      <c r="A93">
        <v>739962</v>
      </c>
      <c r="B93">
        <v>1998972</v>
      </c>
      <c r="C93" t="str">
        <f>"AXTELL INDEP SCHOOL DISTRICT"</f>
        <v>AXTELL INDEP SCHOOL DISTRICT</v>
      </c>
      <c r="D93" t="s">
        <v>11</v>
      </c>
      <c r="E93" t="s">
        <v>90</v>
      </c>
      <c r="F93" t="s">
        <v>91</v>
      </c>
      <c r="G93">
        <v>76624</v>
      </c>
      <c r="H93">
        <v>2010</v>
      </c>
      <c r="I93" s="1">
        <v>9810</v>
      </c>
      <c r="J93" s="1">
        <v>13080</v>
      </c>
      <c r="K93" s="1">
        <v>9810</v>
      </c>
    </row>
    <row r="94" spans="1:11" x14ac:dyDescent="0.35">
      <c r="A94">
        <v>713099</v>
      </c>
      <c r="B94">
        <v>2000937</v>
      </c>
      <c r="C94" t="str">
        <f>"AZLE INDEP SCHOOL DISTRICT"</f>
        <v>AZLE INDEP SCHOOL DISTRICT</v>
      </c>
      <c r="D94" t="s">
        <v>11</v>
      </c>
      <c r="E94" t="s">
        <v>92</v>
      </c>
      <c r="F94" t="s">
        <v>93</v>
      </c>
      <c r="G94">
        <v>76020</v>
      </c>
      <c r="H94">
        <v>2010</v>
      </c>
      <c r="I94" s="1">
        <v>6525</v>
      </c>
      <c r="J94" s="1">
        <v>10875</v>
      </c>
      <c r="K94" s="1">
        <v>6525</v>
      </c>
    </row>
    <row r="95" spans="1:11" x14ac:dyDescent="0.35">
      <c r="A95">
        <v>713099</v>
      </c>
      <c r="B95">
        <v>2000932</v>
      </c>
      <c r="C95" t="str">
        <f>"AZLE INDEP SCHOOL DISTRICT"</f>
        <v>AZLE INDEP SCHOOL DISTRICT</v>
      </c>
      <c r="D95" t="s">
        <v>11</v>
      </c>
      <c r="E95" t="s">
        <v>92</v>
      </c>
      <c r="F95" t="s">
        <v>93</v>
      </c>
      <c r="G95">
        <v>76020</v>
      </c>
      <c r="H95">
        <v>2010</v>
      </c>
      <c r="I95" s="1">
        <v>10516.44</v>
      </c>
      <c r="J95" s="1">
        <v>31287.599999999999</v>
      </c>
      <c r="K95" s="1">
        <v>10516.44</v>
      </c>
    </row>
    <row r="96" spans="1:11" x14ac:dyDescent="0.35">
      <c r="A96">
        <v>713099</v>
      </c>
      <c r="B96">
        <v>2000919</v>
      </c>
      <c r="C96" t="str">
        <f>"AZLE INDEP SCHOOL DISTRICT"</f>
        <v>AZLE INDEP SCHOOL DISTRICT</v>
      </c>
      <c r="D96" t="s">
        <v>11</v>
      </c>
      <c r="E96" t="s">
        <v>92</v>
      </c>
      <c r="F96" t="s">
        <v>93</v>
      </c>
      <c r="G96">
        <v>76020</v>
      </c>
      <c r="H96">
        <v>2010</v>
      </c>
      <c r="I96" s="1">
        <v>97033.61</v>
      </c>
      <c r="J96" s="1">
        <v>173559.6</v>
      </c>
      <c r="K96" s="1">
        <v>97033.61</v>
      </c>
    </row>
    <row r="97" spans="1:11" x14ac:dyDescent="0.35">
      <c r="A97">
        <v>762465</v>
      </c>
      <c r="B97">
        <v>2065991</v>
      </c>
      <c r="C97" t="str">
        <f>"BALMORHEA INDEP SCHOOL DIST"</f>
        <v>BALMORHEA INDEP SCHOOL DIST</v>
      </c>
      <c r="D97" t="s">
        <v>11</v>
      </c>
      <c r="E97" t="s">
        <v>94</v>
      </c>
      <c r="F97" t="s">
        <v>95</v>
      </c>
      <c r="G97">
        <v>79718</v>
      </c>
      <c r="H97">
        <v>2010</v>
      </c>
      <c r="I97" s="1">
        <v>1638.04</v>
      </c>
      <c r="J97" s="1">
        <v>1820.04</v>
      </c>
    </row>
    <row r="98" spans="1:11" x14ac:dyDescent="0.35">
      <c r="A98">
        <v>762465</v>
      </c>
      <c r="B98">
        <v>2065896</v>
      </c>
      <c r="C98" t="str">
        <f>"BALMORHEA INDEP SCHOOL DIST"</f>
        <v>BALMORHEA INDEP SCHOOL DIST</v>
      </c>
      <c r="D98" t="s">
        <v>11</v>
      </c>
      <c r="E98" t="s">
        <v>94</v>
      </c>
      <c r="F98" t="s">
        <v>95</v>
      </c>
      <c r="G98">
        <v>79718</v>
      </c>
      <c r="H98">
        <v>2010</v>
      </c>
      <c r="I98" s="1">
        <v>6156</v>
      </c>
      <c r="J98" s="1">
        <v>6840</v>
      </c>
      <c r="K98" s="1">
        <v>4104</v>
      </c>
    </row>
    <row r="99" spans="1:11" x14ac:dyDescent="0.35">
      <c r="A99">
        <v>741864</v>
      </c>
      <c r="B99">
        <v>2011768</v>
      </c>
      <c r="C99" t="str">
        <f>"BANDERA INDEP SCHOOL DISTRICT"</f>
        <v>BANDERA INDEP SCHOOL DISTRICT</v>
      </c>
      <c r="D99" t="s">
        <v>11</v>
      </c>
      <c r="E99" t="s">
        <v>96</v>
      </c>
      <c r="F99" t="s">
        <v>97</v>
      </c>
      <c r="G99">
        <v>78003</v>
      </c>
      <c r="H99">
        <v>2010</v>
      </c>
      <c r="I99" s="1">
        <v>10311.84</v>
      </c>
      <c r="J99" s="1">
        <v>13392</v>
      </c>
      <c r="K99" s="1">
        <v>10311.84</v>
      </c>
    </row>
    <row r="100" spans="1:11" x14ac:dyDescent="0.35">
      <c r="A100">
        <v>741864</v>
      </c>
      <c r="B100">
        <v>2011905</v>
      </c>
      <c r="C100" t="str">
        <f>"BANDERA INDEP SCHOOL DISTRICT"</f>
        <v>BANDERA INDEP SCHOOL DISTRICT</v>
      </c>
      <c r="D100" t="s">
        <v>11</v>
      </c>
      <c r="E100" t="s">
        <v>96</v>
      </c>
      <c r="F100" t="s">
        <v>97</v>
      </c>
      <c r="G100">
        <v>78003</v>
      </c>
      <c r="H100">
        <v>2010</v>
      </c>
      <c r="I100" s="1">
        <v>11771.76</v>
      </c>
      <c r="J100" s="1">
        <v>15288</v>
      </c>
      <c r="K100" s="1">
        <v>11771.76</v>
      </c>
    </row>
    <row r="101" spans="1:11" x14ac:dyDescent="0.35">
      <c r="A101">
        <v>741864</v>
      </c>
      <c r="B101">
        <v>2011949</v>
      </c>
      <c r="C101" t="str">
        <f>"BANDERA INDEP SCHOOL DISTRICT"</f>
        <v>BANDERA INDEP SCHOOL DISTRICT</v>
      </c>
      <c r="D101" t="s">
        <v>11</v>
      </c>
      <c r="E101" t="s">
        <v>96</v>
      </c>
      <c r="F101" t="s">
        <v>97</v>
      </c>
      <c r="G101">
        <v>78003</v>
      </c>
      <c r="H101">
        <v>2010</v>
      </c>
      <c r="I101" s="1">
        <v>25410</v>
      </c>
      <c r="J101" s="1">
        <v>33000</v>
      </c>
      <c r="K101" s="1">
        <v>4827.8999999999996</v>
      </c>
    </row>
    <row r="102" spans="1:11" x14ac:dyDescent="0.35">
      <c r="A102">
        <v>723407</v>
      </c>
      <c r="B102">
        <v>1960566</v>
      </c>
      <c r="C102" t="str">
        <f>"BANGS INDEP SCHOOL DISTRICT"</f>
        <v>BANGS INDEP SCHOOL DISTRICT</v>
      </c>
      <c r="D102" t="s">
        <v>11</v>
      </c>
      <c r="E102" t="s">
        <v>98</v>
      </c>
      <c r="F102" t="s">
        <v>99</v>
      </c>
      <c r="G102">
        <v>76823</v>
      </c>
      <c r="H102">
        <v>2010</v>
      </c>
      <c r="I102" s="1">
        <v>3028.41</v>
      </c>
      <c r="J102" s="1">
        <v>3933</v>
      </c>
      <c r="K102" s="1">
        <v>3028.41</v>
      </c>
    </row>
    <row r="103" spans="1:11" x14ac:dyDescent="0.35">
      <c r="A103">
        <v>753251</v>
      </c>
      <c r="B103">
        <v>2037248</v>
      </c>
      <c r="C103" t="str">
        <f>"BANQUETE INDEP SCHOOL DISTRICT"</f>
        <v>BANQUETE INDEP SCHOOL DISTRICT</v>
      </c>
      <c r="D103" t="s">
        <v>11</v>
      </c>
      <c r="E103" t="s">
        <v>100</v>
      </c>
      <c r="F103" t="s">
        <v>101</v>
      </c>
      <c r="G103">
        <v>78339</v>
      </c>
      <c r="H103">
        <v>2010</v>
      </c>
      <c r="I103" s="1">
        <v>2869.6</v>
      </c>
      <c r="J103" s="1">
        <v>3587</v>
      </c>
      <c r="K103" s="1">
        <v>2869.6</v>
      </c>
    </row>
    <row r="104" spans="1:11" x14ac:dyDescent="0.35">
      <c r="A104">
        <v>753251</v>
      </c>
      <c r="B104">
        <v>2037151</v>
      </c>
      <c r="C104" t="str">
        <f>"BANQUETE INDEP SCHOOL DISTRICT"</f>
        <v>BANQUETE INDEP SCHOOL DISTRICT</v>
      </c>
      <c r="D104" t="s">
        <v>11</v>
      </c>
      <c r="E104" t="s">
        <v>100</v>
      </c>
      <c r="F104" t="s">
        <v>101</v>
      </c>
      <c r="G104">
        <v>78339</v>
      </c>
      <c r="H104">
        <v>2010</v>
      </c>
      <c r="I104" s="1">
        <v>14745.6</v>
      </c>
      <c r="J104" s="1">
        <v>18432</v>
      </c>
    </row>
    <row r="105" spans="1:11" x14ac:dyDescent="0.35">
      <c r="A105">
        <v>753251</v>
      </c>
      <c r="B105">
        <v>2037398</v>
      </c>
      <c r="C105" t="str">
        <f>"BANQUETE INDEP SCHOOL DISTRICT"</f>
        <v>BANQUETE INDEP SCHOOL DISTRICT</v>
      </c>
      <c r="D105" t="s">
        <v>11</v>
      </c>
      <c r="E105" t="s">
        <v>100</v>
      </c>
      <c r="F105" t="s">
        <v>101</v>
      </c>
      <c r="G105">
        <v>78339</v>
      </c>
      <c r="H105">
        <v>2010</v>
      </c>
      <c r="I105" s="1">
        <v>0</v>
      </c>
      <c r="J105" s="1">
        <v>0</v>
      </c>
    </row>
    <row r="106" spans="1:11" x14ac:dyDescent="0.35">
      <c r="A106">
        <v>727717</v>
      </c>
      <c r="B106">
        <v>1970305</v>
      </c>
      <c r="C106" t="str">
        <f>"BARTLETT INDEP SCHOOL DISTRICT"</f>
        <v>BARTLETT INDEP SCHOOL DISTRICT</v>
      </c>
      <c r="D106" t="s">
        <v>11</v>
      </c>
      <c r="E106" t="s">
        <v>102</v>
      </c>
      <c r="F106" t="s">
        <v>103</v>
      </c>
      <c r="G106">
        <v>76511</v>
      </c>
      <c r="H106">
        <v>2010</v>
      </c>
      <c r="I106" s="1">
        <v>1705.8</v>
      </c>
      <c r="J106" s="1">
        <v>2132.25</v>
      </c>
      <c r="K106" s="1">
        <v>1705.8</v>
      </c>
    </row>
    <row r="107" spans="1:11" x14ac:dyDescent="0.35">
      <c r="A107">
        <v>727717</v>
      </c>
      <c r="B107">
        <v>1970346</v>
      </c>
      <c r="C107" t="str">
        <f>"BARTLETT INDEP SCHOOL DISTRICT"</f>
        <v>BARTLETT INDEP SCHOOL DISTRICT</v>
      </c>
      <c r="D107" t="s">
        <v>11</v>
      </c>
      <c r="E107" t="s">
        <v>102</v>
      </c>
      <c r="F107" t="s">
        <v>103</v>
      </c>
      <c r="G107">
        <v>76511</v>
      </c>
      <c r="H107">
        <v>2010</v>
      </c>
      <c r="I107" s="1">
        <v>19044.48</v>
      </c>
      <c r="J107" s="1">
        <v>23805.599999999999</v>
      </c>
      <c r="K107" s="1">
        <v>19044.48</v>
      </c>
    </row>
    <row r="108" spans="1:11" x14ac:dyDescent="0.35">
      <c r="A108">
        <v>760993</v>
      </c>
      <c r="B108">
        <v>2055925</v>
      </c>
      <c r="C108" t="str">
        <f>"BASTROP INDEP SCHOOL DISTRICT"</f>
        <v>BASTROP INDEP SCHOOL DISTRICT</v>
      </c>
      <c r="D108" t="s">
        <v>11</v>
      </c>
      <c r="E108" t="s">
        <v>104</v>
      </c>
      <c r="F108" t="s">
        <v>105</v>
      </c>
      <c r="G108">
        <v>78602</v>
      </c>
      <c r="H108">
        <v>2010</v>
      </c>
      <c r="I108" s="1">
        <v>5257.44</v>
      </c>
      <c r="J108" s="1">
        <v>7302</v>
      </c>
      <c r="K108" s="1">
        <v>5257.44</v>
      </c>
    </row>
    <row r="109" spans="1:11" x14ac:dyDescent="0.35">
      <c r="A109">
        <v>761735</v>
      </c>
      <c r="B109">
        <v>2058066</v>
      </c>
      <c r="C109" t="str">
        <f>"BASTROP INDEP SCHOOL DISTRICT"</f>
        <v>BASTROP INDEP SCHOOL DISTRICT</v>
      </c>
      <c r="D109" t="s">
        <v>11</v>
      </c>
      <c r="E109" t="s">
        <v>104</v>
      </c>
      <c r="F109" t="s">
        <v>105</v>
      </c>
      <c r="G109">
        <v>78602</v>
      </c>
      <c r="H109">
        <v>2010</v>
      </c>
      <c r="I109" s="1">
        <v>25920</v>
      </c>
      <c r="J109" s="1">
        <v>36000</v>
      </c>
      <c r="K109" s="1">
        <v>6619.59</v>
      </c>
    </row>
    <row r="110" spans="1:11" x14ac:dyDescent="0.35">
      <c r="A110">
        <v>725709</v>
      </c>
      <c r="B110">
        <v>1964902</v>
      </c>
      <c r="C110" t="str">
        <f>"BAY CITY INDEP SCHOOL DISTRICT"</f>
        <v>BAY CITY INDEP SCHOOL DISTRICT</v>
      </c>
      <c r="D110" t="s">
        <v>11</v>
      </c>
      <c r="E110" t="s">
        <v>106</v>
      </c>
      <c r="F110" t="s">
        <v>107</v>
      </c>
      <c r="G110">
        <v>77414</v>
      </c>
      <c r="H110">
        <v>2010</v>
      </c>
      <c r="I110" s="1">
        <v>46080</v>
      </c>
      <c r="J110" s="1">
        <v>57600</v>
      </c>
      <c r="K110" s="1">
        <v>28109</v>
      </c>
    </row>
    <row r="111" spans="1:11" x14ac:dyDescent="0.35">
      <c r="A111">
        <v>725709</v>
      </c>
      <c r="B111">
        <v>1964898</v>
      </c>
      <c r="C111" t="str">
        <f>"BAY CITY INDEP SCHOOL DISTRICT"</f>
        <v>BAY CITY INDEP SCHOOL DISTRICT</v>
      </c>
      <c r="D111" t="s">
        <v>11</v>
      </c>
      <c r="E111" t="s">
        <v>106</v>
      </c>
      <c r="F111" t="s">
        <v>107</v>
      </c>
      <c r="G111">
        <v>77414</v>
      </c>
      <c r="H111">
        <v>2010</v>
      </c>
      <c r="I111" s="1">
        <v>1591.78</v>
      </c>
      <c r="J111" s="1">
        <v>1989.72</v>
      </c>
      <c r="K111" s="1">
        <v>1591.78</v>
      </c>
    </row>
    <row r="112" spans="1:11" x14ac:dyDescent="0.35">
      <c r="A112">
        <v>706028</v>
      </c>
      <c r="B112">
        <v>1974484</v>
      </c>
      <c r="C112" t="str">
        <f>"BEAUMONT INDEP SCHOOL DISTRICT"</f>
        <v>BEAUMONT INDEP SCHOOL DISTRICT</v>
      </c>
      <c r="D112" t="s">
        <v>11</v>
      </c>
      <c r="E112" t="s">
        <v>108</v>
      </c>
      <c r="F112" t="s">
        <v>109</v>
      </c>
      <c r="G112">
        <v>77706</v>
      </c>
      <c r="H112">
        <v>2010</v>
      </c>
      <c r="I112" s="1">
        <v>68398.2</v>
      </c>
      <c r="J112" s="1">
        <v>86580</v>
      </c>
      <c r="K112" s="1">
        <v>68398.2</v>
      </c>
    </row>
    <row r="113" spans="1:11" x14ac:dyDescent="0.35">
      <c r="A113">
        <v>754633</v>
      </c>
      <c r="B113">
        <v>2065585</v>
      </c>
      <c r="C113" t="str">
        <f t="shared" ref="C113:C118" si="2">"BECKVILLE ISD"</f>
        <v>BECKVILLE ISD</v>
      </c>
      <c r="D113" t="s">
        <v>11</v>
      </c>
      <c r="E113" t="s">
        <v>110</v>
      </c>
      <c r="F113" t="s">
        <v>111</v>
      </c>
      <c r="G113">
        <v>75631</v>
      </c>
      <c r="H113">
        <v>2010</v>
      </c>
      <c r="I113" s="1">
        <v>5241.6000000000004</v>
      </c>
      <c r="J113" s="1">
        <v>7488</v>
      </c>
      <c r="K113" s="1">
        <v>5241.6000000000004</v>
      </c>
    </row>
    <row r="114" spans="1:11" x14ac:dyDescent="0.35">
      <c r="A114">
        <v>754633</v>
      </c>
      <c r="B114">
        <v>2065684</v>
      </c>
      <c r="C114" t="str">
        <f t="shared" si="2"/>
        <v>BECKVILLE ISD</v>
      </c>
      <c r="D114" t="s">
        <v>11</v>
      </c>
      <c r="E114" t="s">
        <v>110</v>
      </c>
      <c r="F114" t="s">
        <v>111</v>
      </c>
      <c r="G114">
        <v>75631</v>
      </c>
      <c r="H114">
        <v>2010</v>
      </c>
      <c r="I114" s="1">
        <v>527.02</v>
      </c>
      <c r="J114" s="1">
        <v>752.88</v>
      </c>
      <c r="K114" s="1">
        <v>527.02</v>
      </c>
    </row>
    <row r="115" spans="1:11" x14ac:dyDescent="0.35">
      <c r="A115">
        <v>754633</v>
      </c>
      <c r="B115">
        <v>2065618</v>
      </c>
      <c r="C115" t="str">
        <f t="shared" si="2"/>
        <v>BECKVILLE ISD</v>
      </c>
      <c r="D115" t="s">
        <v>11</v>
      </c>
      <c r="E115" t="s">
        <v>110</v>
      </c>
      <c r="F115" t="s">
        <v>111</v>
      </c>
      <c r="G115">
        <v>75631</v>
      </c>
      <c r="H115">
        <v>2010</v>
      </c>
      <c r="I115" s="1">
        <v>319.12</v>
      </c>
      <c r="J115" s="1">
        <v>455.88</v>
      </c>
      <c r="K115" s="1">
        <v>319.12</v>
      </c>
    </row>
    <row r="116" spans="1:11" x14ac:dyDescent="0.35">
      <c r="A116">
        <v>754633</v>
      </c>
      <c r="B116">
        <v>2065540</v>
      </c>
      <c r="C116" t="str">
        <f t="shared" si="2"/>
        <v>BECKVILLE ISD</v>
      </c>
      <c r="D116" t="s">
        <v>11</v>
      </c>
      <c r="E116" t="s">
        <v>110</v>
      </c>
      <c r="F116" t="s">
        <v>111</v>
      </c>
      <c r="G116">
        <v>75631</v>
      </c>
      <c r="H116">
        <v>2010</v>
      </c>
      <c r="I116" s="1">
        <v>4825.8</v>
      </c>
      <c r="J116" s="1">
        <v>6894</v>
      </c>
      <c r="K116" s="1">
        <v>4825.8</v>
      </c>
    </row>
    <row r="117" spans="1:11" x14ac:dyDescent="0.35">
      <c r="A117">
        <v>754633</v>
      </c>
      <c r="B117">
        <v>2065750</v>
      </c>
      <c r="C117" t="str">
        <f t="shared" si="2"/>
        <v>BECKVILLE ISD</v>
      </c>
      <c r="D117" t="s">
        <v>11</v>
      </c>
      <c r="E117" t="s">
        <v>110</v>
      </c>
      <c r="F117" t="s">
        <v>111</v>
      </c>
      <c r="G117">
        <v>75631</v>
      </c>
      <c r="H117">
        <v>2010</v>
      </c>
      <c r="I117" s="1">
        <v>5898.97</v>
      </c>
      <c r="J117" s="1">
        <v>8427.1</v>
      </c>
      <c r="K117" s="1">
        <v>5898.97</v>
      </c>
    </row>
    <row r="118" spans="1:11" x14ac:dyDescent="0.35">
      <c r="A118">
        <v>754633</v>
      </c>
      <c r="B118">
        <v>2065952</v>
      </c>
      <c r="C118" t="str">
        <f t="shared" si="2"/>
        <v>BECKVILLE ISD</v>
      </c>
      <c r="D118" t="s">
        <v>11</v>
      </c>
      <c r="E118" t="s">
        <v>110</v>
      </c>
      <c r="F118" t="s">
        <v>111</v>
      </c>
      <c r="G118">
        <v>75631</v>
      </c>
      <c r="H118">
        <v>2010</v>
      </c>
      <c r="I118" s="1">
        <v>0</v>
      </c>
      <c r="J118" s="1">
        <v>0</v>
      </c>
    </row>
    <row r="119" spans="1:11" x14ac:dyDescent="0.35">
      <c r="A119">
        <v>734864</v>
      </c>
      <c r="B119">
        <v>1986094</v>
      </c>
      <c r="C119" t="str">
        <f>"BEEVILLE INDEP SCHOOL DISTRICT"</f>
        <v>BEEVILLE INDEP SCHOOL DISTRICT</v>
      </c>
      <c r="D119" t="s">
        <v>11</v>
      </c>
      <c r="E119" t="s">
        <v>112</v>
      </c>
      <c r="F119" t="s">
        <v>113</v>
      </c>
      <c r="G119">
        <v>78102</v>
      </c>
      <c r="H119">
        <v>2010</v>
      </c>
      <c r="I119" s="1">
        <v>10920</v>
      </c>
      <c r="J119" s="1">
        <v>13000</v>
      </c>
      <c r="K119" s="1">
        <v>10920</v>
      </c>
    </row>
    <row r="120" spans="1:11" x14ac:dyDescent="0.35">
      <c r="A120">
        <v>723172</v>
      </c>
      <c r="B120">
        <v>1960553</v>
      </c>
      <c r="C120" t="str">
        <f>"BELLEVUE INDEP SCHOOL DISTRICT"</f>
        <v>BELLEVUE INDEP SCHOOL DISTRICT</v>
      </c>
      <c r="D120" t="s">
        <v>11</v>
      </c>
      <c r="E120" t="s">
        <v>114</v>
      </c>
      <c r="F120" t="s">
        <v>115</v>
      </c>
      <c r="G120">
        <v>76228</v>
      </c>
      <c r="H120">
        <v>2010</v>
      </c>
      <c r="I120" s="1">
        <v>5803.56</v>
      </c>
      <c r="J120" s="1">
        <v>8290.7999999999993</v>
      </c>
      <c r="K120" s="1">
        <v>5803.56</v>
      </c>
    </row>
    <row r="121" spans="1:11" x14ac:dyDescent="0.35">
      <c r="A121">
        <v>723172</v>
      </c>
      <c r="B121">
        <v>1960590</v>
      </c>
      <c r="C121" t="str">
        <f>"BELLEVUE INDEP SCHOOL DISTRICT"</f>
        <v>BELLEVUE INDEP SCHOOL DISTRICT</v>
      </c>
      <c r="D121" t="s">
        <v>11</v>
      </c>
      <c r="E121" t="s">
        <v>114</v>
      </c>
      <c r="F121" t="s">
        <v>115</v>
      </c>
      <c r="G121">
        <v>76228</v>
      </c>
      <c r="H121">
        <v>2010</v>
      </c>
      <c r="I121" s="1">
        <v>580.52</v>
      </c>
      <c r="J121" s="1">
        <v>829.32</v>
      </c>
      <c r="K121" s="1">
        <v>580.52</v>
      </c>
    </row>
    <row r="122" spans="1:11" x14ac:dyDescent="0.35">
      <c r="A122">
        <v>744604</v>
      </c>
      <c r="B122">
        <v>2012740</v>
      </c>
      <c r="C122" t="str">
        <f>"BELLVILLE INDEP SCHOOL DIST"</f>
        <v>BELLVILLE INDEP SCHOOL DIST</v>
      </c>
      <c r="D122" t="s">
        <v>11</v>
      </c>
      <c r="E122" t="s">
        <v>116</v>
      </c>
      <c r="F122" t="s">
        <v>117</v>
      </c>
      <c r="G122">
        <v>77418</v>
      </c>
      <c r="H122">
        <v>2010</v>
      </c>
      <c r="I122" s="1">
        <v>2376</v>
      </c>
      <c r="J122" s="1">
        <v>2640</v>
      </c>
      <c r="K122" s="1">
        <v>2376</v>
      </c>
    </row>
    <row r="123" spans="1:11" x14ac:dyDescent="0.35">
      <c r="A123">
        <v>744604</v>
      </c>
      <c r="B123">
        <v>2012930</v>
      </c>
      <c r="C123" t="str">
        <f>"BELLVILLE INDEP SCHOOL DIST"</f>
        <v>BELLVILLE INDEP SCHOOL DIST</v>
      </c>
      <c r="D123" t="s">
        <v>11</v>
      </c>
      <c r="E123" t="s">
        <v>116</v>
      </c>
      <c r="F123" t="s">
        <v>117</v>
      </c>
      <c r="G123">
        <v>77418</v>
      </c>
      <c r="H123">
        <v>2010</v>
      </c>
      <c r="I123" s="1">
        <v>13139.03</v>
      </c>
      <c r="J123" s="1">
        <v>18770.04</v>
      </c>
      <c r="K123" s="1">
        <v>13139.03</v>
      </c>
    </row>
    <row r="124" spans="1:11" x14ac:dyDescent="0.35">
      <c r="A124">
        <v>744604</v>
      </c>
      <c r="B124">
        <v>2012721</v>
      </c>
      <c r="C124" t="str">
        <f>"BELLVILLE INDEP SCHOOL DIST"</f>
        <v>BELLVILLE INDEP SCHOOL DIST</v>
      </c>
      <c r="D124" t="s">
        <v>11</v>
      </c>
      <c r="E124" t="s">
        <v>116</v>
      </c>
      <c r="F124" t="s">
        <v>117</v>
      </c>
      <c r="G124">
        <v>77418</v>
      </c>
      <c r="H124">
        <v>2010</v>
      </c>
      <c r="I124" s="1">
        <v>2184</v>
      </c>
      <c r="J124" s="1">
        <v>3120</v>
      </c>
      <c r="K124" s="1">
        <v>2184</v>
      </c>
    </row>
    <row r="125" spans="1:11" x14ac:dyDescent="0.35">
      <c r="A125">
        <v>744604</v>
      </c>
      <c r="B125">
        <v>2012871</v>
      </c>
      <c r="C125" t="str">
        <f>"BELLVILLE INDEP SCHOOL DIST"</f>
        <v>BELLVILLE INDEP SCHOOL DIST</v>
      </c>
      <c r="D125" t="s">
        <v>11</v>
      </c>
      <c r="E125" t="s">
        <v>116</v>
      </c>
      <c r="F125" t="s">
        <v>117</v>
      </c>
      <c r="G125">
        <v>77418</v>
      </c>
      <c r="H125">
        <v>2010</v>
      </c>
      <c r="I125" s="1">
        <v>11814.39</v>
      </c>
      <c r="J125" s="1">
        <v>16877.7</v>
      </c>
      <c r="K125" s="1">
        <v>11814.39</v>
      </c>
    </row>
    <row r="126" spans="1:11" x14ac:dyDescent="0.35">
      <c r="A126">
        <v>744604</v>
      </c>
      <c r="B126">
        <v>2012986</v>
      </c>
      <c r="C126" t="str">
        <f>"BELLVILLE INDEP SCHOOL DIST"</f>
        <v>BELLVILLE INDEP SCHOOL DIST</v>
      </c>
      <c r="D126" t="s">
        <v>11</v>
      </c>
      <c r="E126" t="s">
        <v>116</v>
      </c>
      <c r="F126" t="s">
        <v>117</v>
      </c>
      <c r="G126">
        <v>77418</v>
      </c>
      <c r="H126">
        <v>2010</v>
      </c>
      <c r="I126" s="1">
        <v>10169.73</v>
      </c>
      <c r="J126" s="1">
        <v>13207.44</v>
      </c>
      <c r="K126" s="1">
        <v>10169.73</v>
      </c>
    </row>
    <row r="127" spans="1:11" x14ac:dyDescent="0.35">
      <c r="A127">
        <v>750118</v>
      </c>
      <c r="B127">
        <v>2031118</v>
      </c>
      <c r="C127" t="str">
        <f>"BELTON INDEP SCHOOL DISTRICT"</f>
        <v>BELTON INDEP SCHOOL DISTRICT</v>
      </c>
      <c r="D127" t="s">
        <v>11</v>
      </c>
      <c r="E127" t="s">
        <v>118</v>
      </c>
      <c r="F127" t="s">
        <v>119</v>
      </c>
      <c r="G127">
        <v>76513</v>
      </c>
      <c r="H127">
        <v>2010</v>
      </c>
      <c r="I127" s="1">
        <v>15233.4</v>
      </c>
      <c r="J127" s="1">
        <v>24180</v>
      </c>
      <c r="K127" s="1">
        <v>15233.4</v>
      </c>
    </row>
    <row r="128" spans="1:11" x14ac:dyDescent="0.35">
      <c r="A128">
        <v>733537</v>
      </c>
      <c r="B128">
        <v>1986845</v>
      </c>
      <c r="C128" t="str">
        <f>"BEN BOLT-PALITO BLANCO I S D"</f>
        <v>BEN BOLT-PALITO BLANCO I S D</v>
      </c>
      <c r="D128" t="s">
        <v>11</v>
      </c>
      <c r="E128" t="s">
        <v>120</v>
      </c>
      <c r="F128" t="s">
        <v>121</v>
      </c>
      <c r="G128">
        <v>78342</v>
      </c>
      <c r="H128">
        <v>2010</v>
      </c>
      <c r="I128" s="1">
        <v>9985.34</v>
      </c>
      <c r="J128" s="1">
        <v>11477.4</v>
      </c>
      <c r="K128" s="1">
        <v>9985.33</v>
      </c>
    </row>
    <row r="129" spans="1:11" x14ac:dyDescent="0.35">
      <c r="A129">
        <v>733537</v>
      </c>
      <c r="B129">
        <v>1989443</v>
      </c>
      <c r="C129" t="str">
        <f>"BEN BOLT-PALITO BLANCO I S D"</f>
        <v>BEN BOLT-PALITO BLANCO I S D</v>
      </c>
      <c r="D129" t="s">
        <v>11</v>
      </c>
      <c r="E129" t="s">
        <v>120</v>
      </c>
      <c r="F129" t="s">
        <v>121</v>
      </c>
      <c r="G129">
        <v>78342</v>
      </c>
      <c r="H129">
        <v>2010</v>
      </c>
      <c r="I129" s="1">
        <v>10353</v>
      </c>
      <c r="J129" s="1">
        <v>11900</v>
      </c>
      <c r="K129" s="1">
        <v>10353</v>
      </c>
    </row>
    <row r="130" spans="1:11" x14ac:dyDescent="0.35">
      <c r="A130">
        <v>733537</v>
      </c>
      <c r="B130">
        <v>1986811</v>
      </c>
      <c r="C130" t="str">
        <f>"BEN BOLT-PALITO BLANCO I S D"</f>
        <v>BEN BOLT-PALITO BLANCO I S D</v>
      </c>
      <c r="D130" t="s">
        <v>11</v>
      </c>
      <c r="E130" t="s">
        <v>120</v>
      </c>
      <c r="F130" t="s">
        <v>121</v>
      </c>
      <c r="G130">
        <v>78342</v>
      </c>
      <c r="H130">
        <v>2010</v>
      </c>
      <c r="I130" s="1">
        <v>16995.54</v>
      </c>
      <c r="J130" s="1">
        <v>19535.099999999999</v>
      </c>
      <c r="K130" s="1">
        <v>16995.54</v>
      </c>
    </row>
    <row r="131" spans="1:11" x14ac:dyDescent="0.35">
      <c r="A131">
        <v>767813</v>
      </c>
      <c r="B131">
        <v>2076105</v>
      </c>
      <c r="C131" t="str">
        <f>"BENAVIDES INDEP SCH DISTRICT"</f>
        <v>BENAVIDES INDEP SCH DISTRICT</v>
      </c>
      <c r="D131" t="s">
        <v>11</v>
      </c>
      <c r="E131" t="s">
        <v>122</v>
      </c>
      <c r="F131" t="s">
        <v>123</v>
      </c>
      <c r="G131">
        <v>78341</v>
      </c>
      <c r="H131">
        <v>2010</v>
      </c>
      <c r="I131" s="1">
        <v>6751.08</v>
      </c>
      <c r="J131" s="1">
        <v>7501.2</v>
      </c>
      <c r="K131" s="1">
        <v>6751.08</v>
      </c>
    </row>
    <row r="132" spans="1:11" x14ac:dyDescent="0.35">
      <c r="A132">
        <v>767477</v>
      </c>
      <c r="B132">
        <v>2075090</v>
      </c>
      <c r="C132" t="str">
        <f>"BENAVIDES INDEP SCH DISTRICT"</f>
        <v>BENAVIDES INDEP SCH DISTRICT</v>
      </c>
      <c r="D132" t="s">
        <v>11</v>
      </c>
      <c r="E132" t="s">
        <v>122</v>
      </c>
      <c r="F132" t="s">
        <v>123</v>
      </c>
      <c r="G132">
        <v>78341</v>
      </c>
      <c r="H132">
        <v>2010</v>
      </c>
      <c r="I132" s="1">
        <v>14507.96</v>
      </c>
      <c r="J132" s="1">
        <v>16119.96</v>
      </c>
      <c r="K132" s="1">
        <v>14507.96</v>
      </c>
    </row>
    <row r="133" spans="1:11" x14ac:dyDescent="0.35">
      <c r="A133">
        <v>739334</v>
      </c>
      <c r="B133">
        <v>1996960</v>
      </c>
      <c r="C133" t="str">
        <f>"BENJAMIN INDEP SCHOOL DISTRICT"</f>
        <v>BENJAMIN INDEP SCHOOL DISTRICT</v>
      </c>
      <c r="D133" t="s">
        <v>11</v>
      </c>
      <c r="E133" t="s">
        <v>124</v>
      </c>
      <c r="F133" t="s">
        <v>125</v>
      </c>
      <c r="G133">
        <v>79505</v>
      </c>
      <c r="H133">
        <v>2010</v>
      </c>
      <c r="I133" s="1">
        <v>663.48</v>
      </c>
      <c r="J133" s="1">
        <v>829.35</v>
      </c>
      <c r="K133" s="1">
        <v>663.48</v>
      </c>
    </row>
    <row r="134" spans="1:11" x14ac:dyDescent="0.35">
      <c r="A134">
        <v>739334</v>
      </c>
      <c r="B134">
        <v>1997016</v>
      </c>
      <c r="C134" t="str">
        <f>"BENJAMIN INDEP SCHOOL DISTRICT"</f>
        <v>BENJAMIN INDEP SCHOOL DISTRICT</v>
      </c>
      <c r="D134" t="s">
        <v>11</v>
      </c>
      <c r="E134" t="s">
        <v>124</v>
      </c>
      <c r="F134" t="s">
        <v>125</v>
      </c>
      <c r="G134">
        <v>79505</v>
      </c>
      <c r="H134">
        <v>2010</v>
      </c>
      <c r="I134" s="1">
        <v>4263.84</v>
      </c>
      <c r="J134" s="1">
        <v>5329.8</v>
      </c>
      <c r="K134" s="1">
        <v>4263.84</v>
      </c>
    </row>
    <row r="135" spans="1:11" x14ac:dyDescent="0.35">
      <c r="A135">
        <v>763169</v>
      </c>
      <c r="B135">
        <v>2062069</v>
      </c>
      <c r="C135" t="str">
        <f>"BENJIE'S SPECIAL EDUCATION ACADEMY"</f>
        <v>BENJIE'S SPECIAL EDUCATION ACADEMY</v>
      </c>
      <c r="D135" t="s">
        <v>11</v>
      </c>
      <c r="E135" t="s">
        <v>126</v>
      </c>
      <c r="F135" t="s">
        <v>29</v>
      </c>
      <c r="G135">
        <v>77026</v>
      </c>
      <c r="H135">
        <v>2010</v>
      </c>
      <c r="I135" s="1">
        <v>10526.18</v>
      </c>
      <c r="J135" s="1">
        <v>46782.96</v>
      </c>
      <c r="K135" s="1">
        <v>10526.18</v>
      </c>
    </row>
    <row r="136" spans="1:11" x14ac:dyDescent="0.35">
      <c r="A136">
        <v>753378</v>
      </c>
      <c r="B136">
        <v>2036958</v>
      </c>
      <c r="C136" t="str">
        <f>"BIG SPRING INDEP SCHOOL DIST"</f>
        <v>BIG SPRING INDEP SCHOOL DIST</v>
      </c>
      <c r="D136" t="s">
        <v>11</v>
      </c>
      <c r="E136" t="s">
        <v>127</v>
      </c>
      <c r="F136" t="s">
        <v>128</v>
      </c>
      <c r="G136">
        <v>79720</v>
      </c>
      <c r="H136">
        <v>2010</v>
      </c>
      <c r="I136" s="1">
        <v>25995.599999999999</v>
      </c>
      <c r="J136" s="1">
        <v>31320</v>
      </c>
    </row>
    <row r="137" spans="1:11" x14ac:dyDescent="0.35">
      <c r="A137">
        <v>753378</v>
      </c>
      <c r="B137">
        <v>2036878</v>
      </c>
      <c r="C137" t="str">
        <f>"BIG SPRING INDEP SCHOOL DIST"</f>
        <v>BIG SPRING INDEP SCHOOL DIST</v>
      </c>
      <c r="D137" t="s">
        <v>11</v>
      </c>
      <c r="E137" t="s">
        <v>127</v>
      </c>
      <c r="F137" t="s">
        <v>128</v>
      </c>
      <c r="G137">
        <v>79720</v>
      </c>
      <c r="H137">
        <v>2010</v>
      </c>
      <c r="I137" s="1">
        <v>6125.4</v>
      </c>
      <c r="J137" s="1">
        <v>7380</v>
      </c>
    </row>
    <row r="138" spans="1:11" x14ac:dyDescent="0.35">
      <c r="A138">
        <v>715677</v>
      </c>
      <c r="B138">
        <v>1947899</v>
      </c>
      <c r="C138" t="str">
        <f>"BIG SPRINGS CHARTER SCHOOL"</f>
        <v>BIG SPRINGS CHARTER SCHOOL</v>
      </c>
      <c r="D138" t="s">
        <v>11</v>
      </c>
      <c r="E138" t="s">
        <v>129</v>
      </c>
      <c r="F138" t="s">
        <v>130</v>
      </c>
      <c r="G138">
        <v>78873</v>
      </c>
      <c r="H138">
        <v>2010</v>
      </c>
      <c r="I138" s="1">
        <v>259.2</v>
      </c>
      <c r="J138" s="1">
        <v>288</v>
      </c>
      <c r="K138" s="1">
        <v>259.2</v>
      </c>
    </row>
    <row r="139" spans="1:11" x14ac:dyDescent="0.35">
      <c r="A139">
        <v>715677</v>
      </c>
      <c r="B139">
        <v>1959933</v>
      </c>
      <c r="C139" t="str">
        <f>"BIG SPRINGS CHARTER SCHOOL"</f>
        <v>BIG SPRINGS CHARTER SCHOOL</v>
      </c>
      <c r="D139" t="s">
        <v>11</v>
      </c>
      <c r="E139" t="s">
        <v>129</v>
      </c>
      <c r="F139" t="s">
        <v>130</v>
      </c>
      <c r="G139">
        <v>78873</v>
      </c>
      <c r="H139">
        <v>2010</v>
      </c>
      <c r="I139" s="1">
        <v>1077.3</v>
      </c>
      <c r="J139" s="1">
        <v>1197</v>
      </c>
      <c r="K139" s="1">
        <v>1077.3</v>
      </c>
    </row>
    <row r="140" spans="1:11" x14ac:dyDescent="0.35">
      <c r="A140">
        <v>715677</v>
      </c>
      <c r="B140">
        <v>1959920</v>
      </c>
      <c r="C140" t="str">
        <f>"BIG SPRINGS CHARTER SCHOOL"</f>
        <v>BIG SPRINGS CHARTER SCHOOL</v>
      </c>
      <c r="D140" t="s">
        <v>11</v>
      </c>
      <c r="E140" t="s">
        <v>129</v>
      </c>
      <c r="F140" t="s">
        <v>130</v>
      </c>
      <c r="G140">
        <v>78873</v>
      </c>
      <c r="H140">
        <v>2010</v>
      </c>
      <c r="I140" s="1">
        <v>2160</v>
      </c>
      <c r="J140" s="1">
        <v>2400</v>
      </c>
      <c r="K140" s="1">
        <v>2160</v>
      </c>
    </row>
    <row r="141" spans="1:11" x14ac:dyDescent="0.35">
      <c r="A141">
        <v>715677</v>
      </c>
      <c r="B141">
        <v>1959909</v>
      </c>
      <c r="C141" t="str">
        <f>"BIG SPRINGS CHARTER SCHOOL"</f>
        <v>BIG SPRINGS CHARTER SCHOOL</v>
      </c>
      <c r="D141" t="s">
        <v>11</v>
      </c>
      <c r="E141" t="s">
        <v>129</v>
      </c>
      <c r="F141" t="s">
        <v>130</v>
      </c>
      <c r="G141">
        <v>78873</v>
      </c>
      <c r="H141">
        <v>2010</v>
      </c>
      <c r="I141" s="1">
        <v>3780</v>
      </c>
      <c r="J141" s="1">
        <v>4200</v>
      </c>
      <c r="K141" s="1">
        <v>3780</v>
      </c>
    </row>
    <row r="142" spans="1:11" x14ac:dyDescent="0.35">
      <c r="A142">
        <v>760293</v>
      </c>
      <c r="B142">
        <v>2054282</v>
      </c>
      <c r="C142" t="str">
        <f>"BIRDVILLE INDEP SCHOOL DIST"</f>
        <v>BIRDVILLE INDEP SCHOOL DIST</v>
      </c>
      <c r="D142" t="s">
        <v>11</v>
      </c>
      <c r="E142" t="s">
        <v>131</v>
      </c>
      <c r="F142" t="s">
        <v>132</v>
      </c>
      <c r="G142">
        <v>76117</v>
      </c>
      <c r="H142">
        <v>2010</v>
      </c>
      <c r="I142" s="1">
        <v>32321.52</v>
      </c>
      <c r="J142" s="1">
        <v>46173.599999999999</v>
      </c>
      <c r="K142" s="1">
        <v>32321.52</v>
      </c>
    </row>
    <row r="143" spans="1:11" x14ac:dyDescent="0.35">
      <c r="A143">
        <v>713130</v>
      </c>
      <c r="B143">
        <v>1960047</v>
      </c>
      <c r="C143" t="str">
        <f>"BIRDVILLE INDEP SCHOOL DIST"</f>
        <v>BIRDVILLE INDEP SCHOOL DIST</v>
      </c>
      <c r="D143" t="s">
        <v>11</v>
      </c>
      <c r="E143" t="s">
        <v>131</v>
      </c>
      <c r="F143" t="s">
        <v>132</v>
      </c>
      <c r="G143">
        <v>76117</v>
      </c>
      <c r="H143">
        <v>2010</v>
      </c>
      <c r="I143" s="1">
        <v>15543.5</v>
      </c>
      <c r="J143" s="1">
        <v>22205</v>
      </c>
      <c r="K143" s="1">
        <v>15543.5</v>
      </c>
    </row>
    <row r="144" spans="1:11" x14ac:dyDescent="0.35">
      <c r="A144">
        <v>713130</v>
      </c>
      <c r="B144">
        <v>1960056</v>
      </c>
      <c r="C144" t="str">
        <f>"BIRDVILLE INDEP SCHOOL DIST"</f>
        <v>BIRDVILLE INDEP SCHOOL DIST</v>
      </c>
      <c r="D144" t="s">
        <v>11</v>
      </c>
      <c r="E144" t="s">
        <v>131</v>
      </c>
      <c r="F144" t="s">
        <v>132</v>
      </c>
      <c r="G144">
        <v>76117</v>
      </c>
      <c r="H144">
        <v>2010</v>
      </c>
      <c r="I144" s="1">
        <v>8855</v>
      </c>
      <c r="J144" s="1">
        <v>12650</v>
      </c>
      <c r="K144" s="1">
        <v>8241.86</v>
      </c>
    </row>
    <row r="145" spans="1:11" x14ac:dyDescent="0.35">
      <c r="A145">
        <v>713130</v>
      </c>
      <c r="B145">
        <v>1960053</v>
      </c>
      <c r="C145" t="str">
        <f>"BIRDVILLE INDEP SCHOOL DIST"</f>
        <v>BIRDVILLE INDEP SCHOOL DIST</v>
      </c>
      <c r="D145" t="s">
        <v>11</v>
      </c>
      <c r="E145" t="s">
        <v>131</v>
      </c>
      <c r="F145" t="s">
        <v>132</v>
      </c>
      <c r="G145">
        <v>76117</v>
      </c>
      <c r="H145">
        <v>2010</v>
      </c>
      <c r="I145" s="1">
        <v>37800</v>
      </c>
      <c r="J145" s="1">
        <v>54000</v>
      </c>
      <c r="K145" s="1">
        <v>37800</v>
      </c>
    </row>
    <row r="146" spans="1:11" x14ac:dyDescent="0.35">
      <c r="A146">
        <v>746946</v>
      </c>
      <c r="B146">
        <v>2016840</v>
      </c>
      <c r="C146" t="str">
        <f>"BISHOP CONSOL INDEP SCH DIST"</f>
        <v>BISHOP CONSOL INDEP SCH DIST</v>
      </c>
      <c r="D146" t="s">
        <v>11</v>
      </c>
      <c r="E146" t="s">
        <v>133</v>
      </c>
      <c r="F146" t="s">
        <v>134</v>
      </c>
      <c r="G146">
        <v>78343</v>
      </c>
      <c r="H146">
        <v>2010</v>
      </c>
      <c r="I146" s="1">
        <v>13296.69</v>
      </c>
      <c r="J146" s="1">
        <v>17728.919999999998</v>
      </c>
      <c r="K146" s="1">
        <v>13296.69</v>
      </c>
    </row>
    <row r="147" spans="1:11" x14ac:dyDescent="0.35">
      <c r="A147">
        <v>711471</v>
      </c>
      <c r="B147">
        <v>1940603</v>
      </c>
      <c r="C147" t="str">
        <f>"BLANCO INDEP SCHOOL DISTRICT"</f>
        <v>BLANCO INDEP SCHOOL DISTRICT</v>
      </c>
      <c r="D147" t="s">
        <v>11</v>
      </c>
      <c r="E147" t="s">
        <v>135</v>
      </c>
      <c r="F147" t="s">
        <v>136</v>
      </c>
      <c r="G147">
        <v>78606</v>
      </c>
      <c r="H147">
        <v>2010</v>
      </c>
      <c r="I147" s="1">
        <v>22050</v>
      </c>
      <c r="J147" s="1">
        <v>29400</v>
      </c>
      <c r="K147" s="1">
        <v>22050</v>
      </c>
    </row>
    <row r="148" spans="1:11" x14ac:dyDescent="0.35">
      <c r="A148">
        <v>711386</v>
      </c>
      <c r="B148">
        <v>1940550</v>
      </c>
      <c r="C148" t="str">
        <f>"BLANCO INDEP SCHOOL DISTRICT"</f>
        <v>BLANCO INDEP SCHOOL DISTRICT</v>
      </c>
      <c r="D148" t="s">
        <v>11</v>
      </c>
      <c r="E148" t="s">
        <v>135</v>
      </c>
      <c r="F148" t="s">
        <v>136</v>
      </c>
      <c r="G148">
        <v>78606</v>
      </c>
      <c r="H148">
        <v>2010</v>
      </c>
      <c r="I148" s="1">
        <v>42480</v>
      </c>
      <c r="J148" s="1">
        <v>56640</v>
      </c>
      <c r="K148" s="1">
        <v>42480</v>
      </c>
    </row>
    <row r="149" spans="1:11" x14ac:dyDescent="0.35">
      <c r="A149">
        <v>709663</v>
      </c>
      <c r="B149">
        <v>1939305</v>
      </c>
      <c r="C149" t="str">
        <f>"BLOOMBURG INDEP SCHOOL DIST"</f>
        <v>BLOOMBURG INDEP SCHOOL DIST</v>
      </c>
      <c r="D149" t="s">
        <v>11</v>
      </c>
      <c r="E149" t="s">
        <v>137</v>
      </c>
      <c r="F149" t="s">
        <v>138</v>
      </c>
      <c r="G149">
        <v>75556</v>
      </c>
      <c r="H149">
        <v>2010</v>
      </c>
      <c r="I149" s="1">
        <v>663.48</v>
      </c>
      <c r="J149" s="1">
        <v>829.35</v>
      </c>
      <c r="K149" s="1">
        <v>663.48</v>
      </c>
    </row>
    <row r="150" spans="1:11" x14ac:dyDescent="0.35">
      <c r="A150">
        <v>750802</v>
      </c>
      <c r="B150">
        <v>2028587</v>
      </c>
      <c r="C150" t="str">
        <f>"BLOOMING GROVE INDEP SCH DIST"</f>
        <v>BLOOMING GROVE INDEP SCH DIST</v>
      </c>
      <c r="D150" t="s">
        <v>11</v>
      </c>
      <c r="E150" t="s">
        <v>139</v>
      </c>
      <c r="F150" t="s">
        <v>140</v>
      </c>
      <c r="G150">
        <v>76626</v>
      </c>
      <c r="H150">
        <v>2010</v>
      </c>
      <c r="I150" s="1">
        <v>16024.85</v>
      </c>
      <c r="J150" s="1">
        <v>21655.200000000001</v>
      </c>
      <c r="K150" s="1">
        <v>16024.85</v>
      </c>
    </row>
    <row r="151" spans="1:11" x14ac:dyDescent="0.35">
      <c r="A151">
        <v>725971</v>
      </c>
      <c r="B151">
        <v>1965582</v>
      </c>
      <c r="C151" t="str">
        <f>"BLOOMINGTON INDEP SCHOOL DIST"</f>
        <v>BLOOMINGTON INDEP SCHOOL DIST</v>
      </c>
      <c r="D151" t="s">
        <v>11</v>
      </c>
      <c r="E151" t="s">
        <v>141</v>
      </c>
      <c r="F151" t="s">
        <v>142</v>
      </c>
      <c r="G151">
        <v>77951</v>
      </c>
      <c r="H151">
        <v>2010</v>
      </c>
      <c r="I151" s="1">
        <v>3332.45</v>
      </c>
      <c r="J151" s="1">
        <v>3830.4</v>
      </c>
      <c r="K151" s="1">
        <v>3332.45</v>
      </c>
    </row>
    <row r="152" spans="1:11" x14ac:dyDescent="0.35">
      <c r="A152">
        <v>725971</v>
      </c>
      <c r="B152">
        <v>1965543</v>
      </c>
      <c r="C152" t="str">
        <f>"BLOOMINGTON INDEP SCHOOL DIST"</f>
        <v>BLOOMINGTON INDEP SCHOOL DIST</v>
      </c>
      <c r="D152" t="s">
        <v>11</v>
      </c>
      <c r="E152" t="s">
        <v>141</v>
      </c>
      <c r="F152" t="s">
        <v>142</v>
      </c>
      <c r="G152">
        <v>77951</v>
      </c>
      <c r="H152">
        <v>2010</v>
      </c>
      <c r="I152" s="1">
        <v>7830</v>
      </c>
      <c r="J152" s="1">
        <v>9000</v>
      </c>
      <c r="K152" s="1">
        <v>7134</v>
      </c>
    </row>
    <row r="153" spans="1:11" x14ac:dyDescent="0.35">
      <c r="A153">
        <v>725971</v>
      </c>
      <c r="B153">
        <v>1965562</v>
      </c>
      <c r="C153" t="str">
        <f>"BLOOMINGTON INDEP SCHOOL DIST"</f>
        <v>BLOOMINGTON INDEP SCHOOL DIST</v>
      </c>
      <c r="D153" t="s">
        <v>11</v>
      </c>
      <c r="E153" t="s">
        <v>141</v>
      </c>
      <c r="F153" t="s">
        <v>142</v>
      </c>
      <c r="G153">
        <v>77951</v>
      </c>
      <c r="H153">
        <v>2010</v>
      </c>
      <c r="I153" s="1">
        <v>5579.76</v>
      </c>
      <c r="J153" s="1">
        <v>6413.52</v>
      </c>
      <c r="K153" s="1">
        <v>4125.8599999999997</v>
      </c>
    </row>
    <row r="154" spans="1:11" x14ac:dyDescent="0.35">
      <c r="A154">
        <v>725971</v>
      </c>
      <c r="B154">
        <v>1965550</v>
      </c>
      <c r="C154" t="str">
        <f>"BLOOMINGTON INDEP SCHOOL DIST"</f>
        <v>BLOOMINGTON INDEP SCHOOL DIST</v>
      </c>
      <c r="D154" t="s">
        <v>11</v>
      </c>
      <c r="E154" t="s">
        <v>141</v>
      </c>
      <c r="F154" t="s">
        <v>142</v>
      </c>
      <c r="G154">
        <v>77951</v>
      </c>
      <c r="H154">
        <v>2010</v>
      </c>
      <c r="I154" s="1">
        <v>12528</v>
      </c>
      <c r="J154" s="1">
        <v>14400</v>
      </c>
      <c r="K154" s="1">
        <v>12528</v>
      </c>
    </row>
    <row r="155" spans="1:11" x14ac:dyDescent="0.35">
      <c r="A155">
        <v>709524</v>
      </c>
      <c r="B155">
        <v>1938445</v>
      </c>
      <c r="C155" t="str">
        <f>"BLUE RIDGE SCHOOL DISTRICT"</f>
        <v>BLUE RIDGE SCHOOL DISTRICT</v>
      </c>
      <c r="D155" t="s">
        <v>11</v>
      </c>
      <c r="E155" t="s">
        <v>143</v>
      </c>
      <c r="F155" t="s">
        <v>144</v>
      </c>
      <c r="G155">
        <v>75424</v>
      </c>
      <c r="H155">
        <v>2010</v>
      </c>
      <c r="I155" s="1">
        <v>2595.79</v>
      </c>
      <c r="J155" s="1">
        <v>3933.02</v>
      </c>
      <c r="K155" s="1">
        <v>2595.79</v>
      </c>
    </row>
    <row r="156" spans="1:11" x14ac:dyDescent="0.35">
      <c r="A156">
        <v>746842</v>
      </c>
      <c r="B156">
        <v>2045221</v>
      </c>
      <c r="C156" t="str">
        <f>"BLUFF DALE INDEP SCH DISTRICT"</f>
        <v>BLUFF DALE INDEP SCH DISTRICT</v>
      </c>
      <c r="D156" t="s">
        <v>11</v>
      </c>
      <c r="E156" t="s">
        <v>145</v>
      </c>
      <c r="F156" t="s">
        <v>146</v>
      </c>
      <c r="G156">
        <v>76433</v>
      </c>
      <c r="H156">
        <v>2010</v>
      </c>
      <c r="I156" s="1">
        <v>8400</v>
      </c>
      <c r="J156" s="1">
        <v>12000</v>
      </c>
      <c r="K156" s="1">
        <v>2281.1999999999998</v>
      </c>
    </row>
    <row r="157" spans="1:11" x14ac:dyDescent="0.35">
      <c r="A157">
        <v>753258</v>
      </c>
      <c r="B157">
        <v>2037168</v>
      </c>
      <c r="C157" t="str">
        <f>"BLUM INDEP SCHOOL DISTRICT"</f>
        <v>BLUM INDEP SCHOOL DISTRICT</v>
      </c>
      <c r="D157" t="s">
        <v>11</v>
      </c>
      <c r="E157" t="s">
        <v>147</v>
      </c>
      <c r="F157" t="s">
        <v>148</v>
      </c>
      <c r="G157">
        <v>76627</v>
      </c>
      <c r="H157">
        <v>2010</v>
      </c>
      <c r="I157" s="1">
        <v>18240</v>
      </c>
      <c r="J157" s="1">
        <v>22800</v>
      </c>
      <c r="K157" s="1">
        <v>18240</v>
      </c>
    </row>
    <row r="158" spans="1:11" x14ac:dyDescent="0.35">
      <c r="A158">
        <v>725787</v>
      </c>
      <c r="B158">
        <v>1978616</v>
      </c>
      <c r="C158" t="str">
        <f>"BOERNE INDEP SCHOOL DISTRICT"</f>
        <v>BOERNE INDEP SCHOOL DISTRICT</v>
      </c>
      <c r="D158" t="s">
        <v>11</v>
      </c>
      <c r="E158" t="s">
        <v>149</v>
      </c>
      <c r="F158" t="s">
        <v>150</v>
      </c>
      <c r="G158">
        <v>78006</v>
      </c>
      <c r="H158">
        <v>2010</v>
      </c>
      <c r="I158" s="1">
        <v>15120</v>
      </c>
      <c r="J158" s="1">
        <v>27000</v>
      </c>
      <c r="K158" s="1">
        <v>15120</v>
      </c>
    </row>
    <row r="159" spans="1:11" x14ac:dyDescent="0.35">
      <c r="A159">
        <v>725787</v>
      </c>
      <c r="B159">
        <v>1978313</v>
      </c>
      <c r="C159" t="str">
        <f>"BOERNE INDEP SCHOOL DISTRICT"</f>
        <v>BOERNE INDEP SCHOOL DISTRICT</v>
      </c>
      <c r="D159" t="s">
        <v>11</v>
      </c>
      <c r="E159" t="s">
        <v>149</v>
      </c>
      <c r="F159" t="s">
        <v>150</v>
      </c>
      <c r="G159">
        <v>78006</v>
      </c>
      <c r="H159">
        <v>2010</v>
      </c>
      <c r="I159" s="1">
        <v>17371.2</v>
      </c>
      <c r="J159" s="1">
        <v>31020</v>
      </c>
      <c r="K159" s="1">
        <v>17371.2</v>
      </c>
    </row>
    <row r="160" spans="1:11" x14ac:dyDescent="0.35">
      <c r="A160">
        <v>733236</v>
      </c>
      <c r="B160">
        <v>1982709</v>
      </c>
      <c r="C160" t="str">
        <f>"BOLING INDEP SCHOOL DISTRICT"</f>
        <v>BOLING INDEP SCHOOL DISTRICT</v>
      </c>
      <c r="D160" t="s">
        <v>11</v>
      </c>
      <c r="E160" t="s">
        <v>151</v>
      </c>
      <c r="F160" t="s">
        <v>152</v>
      </c>
      <c r="G160">
        <v>77420</v>
      </c>
      <c r="H160">
        <v>2010</v>
      </c>
      <c r="I160" s="1">
        <v>13860</v>
      </c>
      <c r="J160" s="1">
        <v>18000</v>
      </c>
      <c r="K160" s="1">
        <v>11711</v>
      </c>
    </row>
    <row r="161" spans="1:11" x14ac:dyDescent="0.35">
      <c r="A161">
        <v>733236</v>
      </c>
      <c r="B161">
        <v>1982723</v>
      </c>
      <c r="C161" t="str">
        <f>"BOLING INDEP SCHOOL DISTRICT"</f>
        <v>BOLING INDEP SCHOOL DISTRICT</v>
      </c>
      <c r="D161" t="s">
        <v>11</v>
      </c>
      <c r="E161" t="s">
        <v>151</v>
      </c>
      <c r="F161" t="s">
        <v>152</v>
      </c>
      <c r="G161">
        <v>77420</v>
      </c>
      <c r="H161">
        <v>2010</v>
      </c>
      <c r="I161" s="1">
        <v>231</v>
      </c>
      <c r="J161" s="1">
        <v>300</v>
      </c>
      <c r="K161" s="1">
        <v>231</v>
      </c>
    </row>
    <row r="162" spans="1:11" x14ac:dyDescent="0.35">
      <c r="A162">
        <v>733236</v>
      </c>
      <c r="B162">
        <v>1982714</v>
      </c>
      <c r="C162" t="str">
        <f>"BOLING INDEP SCHOOL DISTRICT"</f>
        <v>BOLING INDEP SCHOOL DISTRICT</v>
      </c>
      <c r="D162" t="s">
        <v>11</v>
      </c>
      <c r="E162" t="s">
        <v>151</v>
      </c>
      <c r="F162" t="s">
        <v>152</v>
      </c>
      <c r="G162">
        <v>77420</v>
      </c>
      <c r="H162">
        <v>2010</v>
      </c>
      <c r="I162" s="1">
        <v>385.03</v>
      </c>
      <c r="J162" s="1">
        <v>500.04</v>
      </c>
      <c r="K162" s="1">
        <v>385.03</v>
      </c>
    </row>
    <row r="163" spans="1:11" x14ac:dyDescent="0.35">
      <c r="A163">
        <v>720229</v>
      </c>
      <c r="B163">
        <v>1954411</v>
      </c>
      <c r="C163" t="str">
        <f>"BONHAM INDEP SCHOOL DISTRICT"</f>
        <v>BONHAM INDEP SCHOOL DISTRICT</v>
      </c>
      <c r="D163" t="s">
        <v>11</v>
      </c>
      <c r="E163" t="s">
        <v>153</v>
      </c>
      <c r="F163" t="s">
        <v>154</v>
      </c>
      <c r="G163">
        <v>75418</v>
      </c>
      <c r="H163">
        <v>2010</v>
      </c>
      <c r="I163" s="1">
        <v>6551.06</v>
      </c>
      <c r="J163" s="1">
        <v>8398.7999999999993</v>
      </c>
      <c r="K163" s="1">
        <v>6551.04</v>
      </c>
    </row>
    <row r="164" spans="1:11" x14ac:dyDescent="0.35">
      <c r="A164">
        <v>720229</v>
      </c>
      <c r="B164">
        <v>1954425</v>
      </c>
      <c r="C164" t="str">
        <f>"BONHAM INDEP SCHOOL DISTRICT"</f>
        <v>BONHAM INDEP SCHOOL DISTRICT</v>
      </c>
      <c r="D164" t="s">
        <v>11</v>
      </c>
      <c r="E164" t="s">
        <v>153</v>
      </c>
      <c r="F164" t="s">
        <v>154</v>
      </c>
      <c r="G164">
        <v>75418</v>
      </c>
      <c r="H164">
        <v>2010</v>
      </c>
      <c r="I164" s="1">
        <v>4856.45</v>
      </c>
      <c r="J164" s="1">
        <v>6226.22</v>
      </c>
      <c r="K164" s="1">
        <v>4856.45</v>
      </c>
    </row>
    <row r="165" spans="1:11" x14ac:dyDescent="0.35">
      <c r="A165">
        <v>709405</v>
      </c>
      <c r="B165">
        <v>1938325</v>
      </c>
      <c r="C165" t="str">
        <f>"BOOKER INDEP SCHOOL DISTRICT"</f>
        <v>BOOKER INDEP SCHOOL DISTRICT</v>
      </c>
      <c r="D165" t="s">
        <v>11</v>
      </c>
      <c r="E165" t="s">
        <v>155</v>
      </c>
      <c r="F165" t="s">
        <v>156</v>
      </c>
      <c r="G165">
        <v>79005</v>
      </c>
      <c r="H165">
        <v>2010</v>
      </c>
      <c r="I165" s="1">
        <v>2960</v>
      </c>
      <c r="J165" s="1">
        <v>3700</v>
      </c>
      <c r="K165" s="1">
        <v>2960</v>
      </c>
    </row>
    <row r="166" spans="1:11" x14ac:dyDescent="0.35">
      <c r="A166">
        <v>709487</v>
      </c>
      <c r="B166">
        <v>1938762</v>
      </c>
      <c r="C166" t="str">
        <f>"BOOKER INDEP SCHOOL DISTRICT"</f>
        <v>BOOKER INDEP SCHOOL DISTRICT</v>
      </c>
      <c r="D166" t="s">
        <v>11</v>
      </c>
      <c r="E166" t="s">
        <v>155</v>
      </c>
      <c r="F166" t="s">
        <v>156</v>
      </c>
      <c r="G166">
        <v>79005</v>
      </c>
      <c r="H166">
        <v>2010</v>
      </c>
      <c r="I166" s="1">
        <v>7712</v>
      </c>
      <c r="J166" s="1">
        <v>9640</v>
      </c>
      <c r="K166" s="1">
        <v>7712</v>
      </c>
    </row>
    <row r="167" spans="1:11" x14ac:dyDescent="0.35">
      <c r="A167">
        <v>709185</v>
      </c>
      <c r="B167">
        <v>1965857</v>
      </c>
      <c r="C167" t="str">
        <f>"BOOKER INDEP SCHOOL DISTRICT"</f>
        <v>BOOKER INDEP SCHOOL DISTRICT</v>
      </c>
      <c r="D167" t="s">
        <v>11</v>
      </c>
      <c r="E167" t="s">
        <v>155</v>
      </c>
      <c r="F167" t="s">
        <v>156</v>
      </c>
      <c r="G167">
        <v>79005</v>
      </c>
      <c r="H167">
        <v>2010</v>
      </c>
      <c r="I167" s="1">
        <v>401.4</v>
      </c>
      <c r="J167" s="1">
        <v>501.75</v>
      </c>
      <c r="K167" s="1">
        <v>401.4</v>
      </c>
    </row>
    <row r="168" spans="1:11" x14ac:dyDescent="0.35">
      <c r="A168">
        <v>721067</v>
      </c>
      <c r="B168">
        <v>2001145</v>
      </c>
      <c r="C168" t="str">
        <f>"BORGER INDEP SCHOOL DISTRICT"</f>
        <v>BORGER INDEP SCHOOL DISTRICT</v>
      </c>
      <c r="D168" t="s">
        <v>11</v>
      </c>
      <c r="E168" t="s">
        <v>157</v>
      </c>
      <c r="F168" t="s">
        <v>158</v>
      </c>
      <c r="G168">
        <v>79007</v>
      </c>
      <c r="H168">
        <v>2010</v>
      </c>
      <c r="I168" s="1">
        <v>15040.86</v>
      </c>
      <c r="J168" s="1">
        <v>20890.080000000002</v>
      </c>
      <c r="K168" s="1">
        <v>13420.8</v>
      </c>
    </row>
    <row r="169" spans="1:11" x14ac:dyDescent="0.35">
      <c r="A169">
        <v>721067</v>
      </c>
      <c r="B169">
        <v>2001095</v>
      </c>
      <c r="C169" t="str">
        <f>"BORGER INDEP SCHOOL DISTRICT"</f>
        <v>BORGER INDEP SCHOOL DISTRICT</v>
      </c>
      <c r="D169" t="s">
        <v>11</v>
      </c>
      <c r="E169" t="s">
        <v>157</v>
      </c>
      <c r="F169" t="s">
        <v>158</v>
      </c>
      <c r="G169">
        <v>79007</v>
      </c>
      <c r="H169">
        <v>2010</v>
      </c>
      <c r="I169" s="1">
        <v>5328.03</v>
      </c>
      <c r="J169" s="1">
        <v>7400.04</v>
      </c>
      <c r="K169" s="1">
        <v>5328</v>
      </c>
    </row>
    <row r="170" spans="1:11" x14ac:dyDescent="0.35">
      <c r="A170">
        <v>745745</v>
      </c>
      <c r="B170">
        <v>2012689</v>
      </c>
      <c r="C170" t="str">
        <f>"BOVINA INDEP SCHOOL DISTRICT"</f>
        <v>BOVINA INDEP SCHOOL DISTRICT</v>
      </c>
      <c r="D170" t="s">
        <v>11</v>
      </c>
      <c r="E170" t="s">
        <v>159</v>
      </c>
      <c r="F170" t="s">
        <v>160</v>
      </c>
      <c r="G170">
        <v>79009</v>
      </c>
      <c r="H170">
        <v>2010</v>
      </c>
      <c r="I170" s="1">
        <v>1706.75</v>
      </c>
      <c r="J170" s="1">
        <v>1896.39</v>
      </c>
      <c r="K170" s="1">
        <v>1706.75</v>
      </c>
    </row>
    <row r="171" spans="1:11" x14ac:dyDescent="0.35">
      <c r="A171">
        <v>745657</v>
      </c>
      <c r="B171">
        <v>2012442</v>
      </c>
      <c r="C171" t="str">
        <f>"BOVINA INDEP SCHOOL DISTRICT"</f>
        <v>BOVINA INDEP SCHOOL DISTRICT</v>
      </c>
      <c r="D171" t="s">
        <v>11</v>
      </c>
      <c r="E171" t="s">
        <v>159</v>
      </c>
      <c r="F171" t="s">
        <v>160</v>
      </c>
      <c r="G171">
        <v>79009</v>
      </c>
      <c r="H171">
        <v>2010</v>
      </c>
      <c r="I171" s="1">
        <v>8676</v>
      </c>
      <c r="J171" s="1">
        <v>9640</v>
      </c>
      <c r="K171" s="1">
        <v>8676</v>
      </c>
    </row>
    <row r="172" spans="1:11" x14ac:dyDescent="0.35">
      <c r="A172">
        <v>745538</v>
      </c>
      <c r="B172">
        <v>2012208</v>
      </c>
      <c r="C172" t="str">
        <f>"BOVINA INDEP SCHOOL DISTRICT"</f>
        <v>BOVINA INDEP SCHOOL DISTRICT</v>
      </c>
      <c r="D172" t="s">
        <v>11</v>
      </c>
      <c r="E172" t="s">
        <v>159</v>
      </c>
      <c r="F172" t="s">
        <v>160</v>
      </c>
      <c r="G172">
        <v>79009</v>
      </c>
      <c r="H172">
        <v>2010</v>
      </c>
      <c r="I172" s="1">
        <v>6660</v>
      </c>
      <c r="J172" s="1">
        <v>7400</v>
      </c>
      <c r="K172" s="1">
        <v>6660</v>
      </c>
    </row>
    <row r="173" spans="1:11" x14ac:dyDescent="0.35">
      <c r="A173">
        <v>726864</v>
      </c>
      <c r="B173">
        <v>1967808</v>
      </c>
      <c r="C173" t="str">
        <f>"BOWIE INDEPENDENT SCHOOL DISTRICT"</f>
        <v>BOWIE INDEPENDENT SCHOOL DISTRICT</v>
      </c>
      <c r="D173" t="s">
        <v>11</v>
      </c>
      <c r="E173" t="s">
        <v>161</v>
      </c>
      <c r="F173" t="s">
        <v>162</v>
      </c>
      <c r="G173">
        <v>76230</v>
      </c>
      <c r="H173">
        <v>2010</v>
      </c>
      <c r="I173" s="1">
        <v>8883</v>
      </c>
      <c r="J173" s="1">
        <v>11844</v>
      </c>
      <c r="K173" s="1">
        <v>8883</v>
      </c>
    </row>
    <row r="174" spans="1:11" x14ac:dyDescent="0.35">
      <c r="A174">
        <v>764966</v>
      </c>
      <c r="B174">
        <v>2067464</v>
      </c>
      <c r="C174" t="str">
        <f>"BOYD INDEP SCHOOL DISTRICT"</f>
        <v>BOYD INDEP SCHOOL DISTRICT</v>
      </c>
      <c r="D174" t="s">
        <v>11</v>
      </c>
      <c r="E174" t="s">
        <v>163</v>
      </c>
      <c r="F174" t="s">
        <v>164</v>
      </c>
      <c r="G174">
        <v>76023</v>
      </c>
      <c r="H174">
        <v>2010</v>
      </c>
      <c r="I174" s="1">
        <v>12024</v>
      </c>
      <c r="J174" s="1">
        <v>16032</v>
      </c>
      <c r="K174" s="1">
        <v>12024</v>
      </c>
    </row>
    <row r="175" spans="1:11" x14ac:dyDescent="0.35">
      <c r="A175">
        <v>764966</v>
      </c>
      <c r="B175">
        <v>2067636</v>
      </c>
      <c r="C175" t="str">
        <f>"BOYD INDEP SCHOOL DISTRICT"</f>
        <v>BOYD INDEP SCHOOL DISTRICT</v>
      </c>
      <c r="D175" t="s">
        <v>11</v>
      </c>
      <c r="E175" t="s">
        <v>163</v>
      </c>
      <c r="F175" t="s">
        <v>164</v>
      </c>
      <c r="G175">
        <v>76023</v>
      </c>
      <c r="H175">
        <v>2010</v>
      </c>
      <c r="I175" s="1">
        <v>1499.13</v>
      </c>
      <c r="J175" s="1">
        <v>1998.84</v>
      </c>
      <c r="K175" s="1">
        <v>1499.13</v>
      </c>
    </row>
    <row r="176" spans="1:11" x14ac:dyDescent="0.35">
      <c r="A176">
        <v>764966</v>
      </c>
      <c r="B176">
        <v>2067426</v>
      </c>
      <c r="C176" t="str">
        <f>"BOYD INDEP SCHOOL DISTRICT"</f>
        <v>BOYD INDEP SCHOOL DISTRICT</v>
      </c>
      <c r="D176" t="s">
        <v>11</v>
      </c>
      <c r="E176" t="s">
        <v>163</v>
      </c>
      <c r="F176" t="s">
        <v>164</v>
      </c>
      <c r="G176">
        <v>76023</v>
      </c>
      <c r="H176">
        <v>2010</v>
      </c>
      <c r="I176" s="1">
        <v>2452.5</v>
      </c>
      <c r="J176" s="1">
        <v>3270</v>
      </c>
      <c r="K176" s="1">
        <v>2452.5</v>
      </c>
    </row>
    <row r="177" spans="1:11" x14ac:dyDescent="0.35">
      <c r="A177">
        <v>764966</v>
      </c>
      <c r="B177">
        <v>2067596</v>
      </c>
      <c r="C177" t="str">
        <f>"BOYD INDEP SCHOOL DISTRICT"</f>
        <v>BOYD INDEP SCHOOL DISTRICT</v>
      </c>
      <c r="D177" t="s">
        <v>11</v>
      </c>
      <c r="E177" t="s">
        <v>163</v>
      </c>
      <c r="F177" t="s">
        <v>164</v>
      </c>
      <c r="G177">
        <v>76023</v>
      </c>
      <c r="H177">
        <v>2010</v>
      </c>
      <c r="I177" s="1">
        <v>1260</v>
      </c>
      <c r="J177" s="1">
        <v>1680</v>
      </c>
      <c r="K177" s="1">
        <v>1260</v>
      </c>
    </row>
    <row r="178" spans="1:11" x14ac:dyDescent="0.35">
      <c r="A178">
        <v>731425</v>
      </c>
      <c r="B178">
        <v>2036270</v>
      </c>
      <c r="C178" t="str">
        <f t="shared" ref="C178:C183" si="3">"BRACKETT INDEP SCHOOL DISTRICT"</f>
        <v>BRACKETT INDEP SCHOOL DISTRICT</v>
      </c>
      <c r="D178" t="s">
        <v>11</v>
      </c>
      <c r="E178" t="s">
        <v>165</v>
      </c>
      <c r="F178" t="s">
        <v>166</v>
      </c>
      <c r="G178">
        <v>78832</v>
      </c>
      <c r="H178">
        <v>2010</v>
      </c>
      <c r="I178" s="1">
        <v>2624.64</v>
      </c>
      <c r="J178" s="1">
        <v>3280.8</v>
      </c>
      <c r="K178" s="1">
        <v>2622.9</v>
      </c>
    </row>
    <row r="179" spans="1:11" x14ac:dyDescent="0.35">
      <c r="A179">
        <v>731425</v>
      </c>
      <c r="B179">
        <v>1978624</v>
      </c>
      <c r="C179" t="str">
        <f t="shared" si="3"/>
        <v>BRACKETT INDEP SCHOOL DISTRICT</v>
      </c>
      <c r="D179" t="s">
        <v>11</v>
      </c>
      <c r="E179" t="s">
        <v>165</v>
      </c>
      <c r="F179" t="s">
        <v>166</v>
      </c>
      <c r="G179">
        <v>78832</v>
      </c>
      <c r="H179">
        <v>2010</v>
      </c>
      <c r="I179" s="1">
        <v>1440</v>
      </c>
      <c r="J179" s="1">
        <v>1800</v>
      </c>
      <c r="K179" s="1">
        <v>1440</v>
      </c>
    </row>
    <row r="180" spans="1:11" x14ac:dyDescent="0.35">
      <c r="A180">
        <v>731425</v>
      </c>
      <c r="B180">
        <v>2036026</v>
      </c>
      <c r="C180" t="str">
        <f t="shared" si="3"/>
        <v>BRACKETT INDEP SCHOOL DISTRICT</v>
      </c>
      <c r="D180" t="s">
        <v>11</v>
      </c>
      <c r="E180" t="s">
        <v>165</v>
      </c>
      <c r="F180" t="s">
        <v>166</v>
      </c>
      <c r="G180">
        <v>78832</v>
      </c>
      <c r="H180">
        <v>2010</v>
      </c>
      <c r="I180" s="1">
        <v>1920</v>
      </c>
      <c r="J180" s="1">
        <v>2400</v>
      </c>
      <c r="K180" s="1">
        <v>1704</v>
      </c>
    </row>
    <row r="181" spans="1:11" x14ac:dyDescent="0.35">
      <c r="A181">
        <v>731425</v>
      </c>
      <c r="B181">
        <v>2035983</v>
      </c>
      <c r="C181" t="str">
        <f t="shared" si="3"/>
        <v>BRACKETT INDEP SCHOOL DISTRICT</v>
      </c>
      <c r="D181" t="s">
        <v>11</v>
      </c>
      <c r="E181" t="s">
        <v>165</v>
      </c>
      <c r="F181" t="s">
        <v>166</v>
      </c>
      <c r="G181">
        <v>78832</v>
      </c>
      <c r="H181">
        <v>2010</v>
      </c>
      <c r="I181" s="1">
        <v>7008</v>
      </c>
      <c r="J181" s="1">
        <v>8760</v>
      </c>
      <c r="K181" s="1">
        <v>7008</v>
      </c>
    </row>
    <row r="182" spans="1:11" x14ac:dyDescent="0.35">
      <c r="A182">
        <v>731425</v>
      </c>
      <c r="B182">
        <v>2055051</v>
      </c>
      <c r="C182" t="str">
        <f t="shared" si="3"/>
        <v>BRACKETT INDEP SCHOOL DISTRICT</v>
      </c>
      <c r="D182" t="s">
        <v>11</v>
      </c>
      <c r="E182" t="s">
        <v>165</v>
      </c>
      <c r="F182" t="s">
        <v>166</v>
      </c>
      <c r="G182">
        <v>78832</v>
      </c>
      <c r="H182">
        <v>2010</v>
      </c>
      <c r="I182" s="1">
        <v>3369.6</v>
      </c>
      <c r="J182" s="1">
        <v>4212</v>
      </c>
      <c r="K182" s="1">
        <v>3369.6</v>
      </c>
    </row>
    <row r="183" spans="1:11" x14ac:dyDescent="0.35">
      <c r="A183">
        <v>731425</v>
      </c>
      <c r="B183">
        <v>1978621</v>
      </c>
      <c r="C183" t="str">
        <f t="shared" si="3"/>
        <v>BRACKETT INDEP SCHOOL DISTRICT</v>
      </c>
      <c r="D183" t="s">
        <v>11</v>
      </c>
      <c r="E183" t="s">
        <v>165</v>
      </c>
      <c r="F183" t="s">
        <v>166</v>
      </c>
      <c r="G183">
        <v>78832</v>
      </c>
      <c r="H183">
        <v>2010</v>
      </c>
      <c r="I183" s="1">
        <v>1362.05</v>
      </c>
      <c r="J183" s="1">
        <v>1702.56</v>
      </c>
      <c r="K183" s="1">
        <v>1358.47</v>
      </c>
    </row>
    <row r="184" spans="1:11" x14ac:dyDescent="0.35">
      <c r="A184">
        <v>760856</v>
      </c>
      <c r="B184">
        <v>2055592</v>
      </c>
      <c r="C184" t="str">
        <f>"BRADY INDEP SCHOOL DISTRICT"</f>
        <v>BRADY INDEP SCHOOL DISTRICT</v>
      </c>
      <c r="D184" t="s">
        <v>11</v>
      </c>
      <c r="E184" t="s">
        <v>167</v>
      </c>
      <c r="F184" t="s">
        <v>168</v>
      </c>
      <c r="G184">
        <v>76825</v>
      </c>
      <c r="H184">
        <v>2010</v>
      </c>
      <c r="I184" s="1">
        <v>0</v>
      </c>
      <c r="J184" s="1">
        <v>0</v>
      </c>
    </row>
    <row r="185" spans="1:11" x14ac:dyDescent="0.35">
      <c r="A185">
        <v>725355</v>
      </c>
      <c r="B185">
        <v>1966727</v>
      </c>
      <c r="C185" t="str">
        <f>"BRADY INDEP SCHOOL DISTRICT"</f>
        <v>BRADY INDEP SCHOOL DISTRICT</v>
      </c>
      <c r="D185" t="s">
        <v>11</v>
      </c>
      <c r="E185" t="s">
        <v>167</v>
      </c>
      <c r="F185" t="s">
        <v>168</v>
      </c>
      <c r="G185">
        <v>76825</v>
      </c>
      <c r="H185">
        <v>2010</v>
      </c>
      <c r="I185" s="1">
        <v>853.2</v>
      </c>
      <c r="J185" s="1">
        <v>1080</v>
      </c>
      <c r="K185" s="1">
        <v>853.2</v>
      </c>
    </row>
    <row r="186" spans="1:11" x14ac:dyDescent="0.35">
      <c r="A186">
        <v>725355</v>
      </c>
      <c r="B186">
        <v>1968255</v>
      </c>
      <c r="C186" t="str">
        <f>"BRADY INDEP SCHOOL DISTRICT"</f>
        <v>BRADY INDEP SCHOOL DISTRICT</v>
      </c>
      <c r="D186" t="s">
        <v>11</v>
      </c>
      <c r="E186" t="s">
        <v>167</v>
      </c>
      <c r="F186" t="s">
        <v>168</v>
      </c>
      <c r="G186">
        <v>76825</v>
      </c>
      <c r="H186">
        <v>2010</v>
      </c>
      <c r="I186" s="1">
        <v>13689.83</v>
      </c>
      <c r="J186" s="1">
        <v>17328.900000000001</v>
      </c>
      <c r="K186" s="1">
        <v>13689.83</v>
      </c>
    </row>
    <row r="187" spans="1:11" x14ac:dyDescent="0.35">
      <c r="A187">
        <v>724026</v>
      </c>
      <c r="B187">
        <v>1961657</v>
      </c>
      <c r="C187" t="str">
        <f>"BRAZOS INDEPENDENT SCHOOL DISTRICT"</f>
        <v>BRAZOS INDEPENDENT SCHOOL DISTRICT</v>
      </c>
      <c r="D187" t="s">
        <v>11</v>
      </c>
      <c r="E187" t="s">
        <v>169</v>
      </c>
      <c r="F187" t="s">
        <v>170</v>
      </c>
      <c r="G187">
        <v>77485</v>
      </c>
      <c r="H187">
        <v>2010</v>
      </c>
      <c r="I187" s="1">
        <v>6448.79</v>
      </c>
      <c r="J187" s="1">
        <v>8375.0499999999993</v>
      </c>
      <c r="K187" s="1">
        <v>6448.79</v>
      </c>
    </row>
    <row r="188" spans="1:11" x14ac:dyDescent="0.35">
      <c r="A188">
        <v>724026</v>
      </c>
      <c r="B188">
        <v>1961646</v>
      </c>
      <c r="C188" t="str">
        <f>"BRAZOS INDEPENDENT SCHOOL DISTRICT"</f>
        <v>BRAZOS INDEPENDENT SCHOOL DISTRICT</v>
      </c>
      <c r="D188" t="s">
        <v>11</v>
      </c>
      <c r="E188" t="s">
        <v>169</v>
      </c>
      <c r="F188" t="s">
        <v>170</v>
      </c>
      <c r="G188">
        <v>77485</v>
      </c>
      <c r="H188">
        <v>2010</v>
      </c>
      <c r="I188" s="1">
        <v>15949.9</v>
      </c>
      <c r="J188" s="1">
        <v>20714.16</v>
      </c>
      <c r="K188" s="1">
        <v>15949.9</v>
      </c>
    </row>
    <row r="189" spans="1:11" x14ac:dyDescent="0.35">
      <c r="A189">
        <v>730245</v>
      </c>
      <c r="B189">
        <v>1975168</v>
      </c>
      <c r="C189" t="str">
        <f>"BRAZOS RIVER CHARTER SCHOOL"</f>
        <v>BRAZOS RIVER CHARTER SCHOOL</v>
      </c>
      <c r="D189" t="s">
        <v>11</v>
      </c>
      <c r="E189" t="s">
        <v>171</v>
      </c>
      <c r="F189" t="s">
        <v>172</v>
      </c>
      <c r="G189">
        <v>76070</v>
      </c>
      <c r="H189">
        <v>2010</v>
      </c>
      <c r="I189" s="1">
        <v>10264.61</v>
      </c>
      <c r="J189" s="1">
        <v>12830.76</v>
      </c>
      <c r="K189" s="1">
        <v>10264.61</v>
      </c>
    </row>
    <row r="190" spans="1:11" x14ac:dyDescent="0.35">
      <c r="A190">
        <v>751977</v>
      </c>
      <c r="B190">
        <v>2031659</v>
      </c>
      <c r="C190" t="str">
        <f>"BRAZOS SCHOOL FOR INQUIRY AND CREATIVITY"</f>
        <v>BRAZOS SCHOOL FOR INQUIRY AND CREATIVITY</v>
      </c>
      <c r="D190" t="s">
        <v>11</v>
      </c>
      <c r="E190" t="s">
        <v>173</v>
      </c>
      <c r="F190" t="s">
        <v>174</v>
      </c>
      <c r="G190">
        <v>77802</v>
      </c>
      <c r="H190">
        <v>2010</v>
      </c>
      <c r="I190" s="1">
        <v>21201.48</v>
      </c>
      <c r="J190" s="1">
        <v>23557.200000000001</v>
      </c>
      <c r="K190" s="1">
        <v>21201.48</v>
      </c>
    </row>
    <row r="191" spans="1:11" x14ac:dyDescent="0.35">
      <c r="A191">
        <v>751977</v>
      </c>
      <c r="B191">
        <v>2031593</v>
      </c>
      <c r="C191" t="str">
        <f>"BRAZOS SCHOOL FOR INQUIRY AND CREATIVITY"</f>
        <v>BRAZOS SCHOOL FOR INQUIRY AND CREATIVITY</v>
      </c>
      <c r="D191" t="s">
        <v>11</v>
      </c>
      <c r="E191" t="s">
        <v>173</v>
      </c>
      <c r="F191" t="s">
        <v>174</v>
      </c>
      <c r="G191">
        <v>77802</v>
      </c>
      <c r="H191">
        <v>2010</v>
      </c>
      <c r="I191" s="1">
        <v>32486.400000000001</v>
      </c>
      <c r="J191" s="1">
        <v>36096</v>
      </c>
      <c r="K191" s="1">
        <v>32486.400000000001</v>
      </c>
    </row>
    <row r="192" spans="1:11" x14ac:dyDescent="0.35">
      <c r="A192">
        <v>751977</v>
      </c>
      <c r="B192">
        <v>2031649</v>
      </c>
      <c r="C192" t="str">
        <f>"BRAZOS SCHOOL FOR INQUIRY AND CREATIVITY"</f>
        <v>BRAZOS SCHOOL FOR INQUIRY AND CREATIVITY</v>
      </c>
      <c r="D192" t="s">
        <v>11</v>
      </c>
      <c r="E192" t="s">
        <v>173</v>
      </c>
      <c r="F192" t="s">
        <v>174</v>
      </c>
      <c r="G192">
        <v>77802</v>
      </c>
      <c r="H192">
        <v>2010</v>
      </c>
      <c r="I192" s="1">
        <v>2375.46</v>
      </c>
      <c r="J192" s="1">
        <v>2639.4</v>
      </c>
      <c r="K192" s="1">
        <v>899.8</v>
      </c>
    </row>
    <row r="193" spans="1:11" x14ac:dyDescent="0.35">
      <c r="A193">
        <v>751977</v>
      </c>
      <c r="B193">
        <v>2031672</v>
      </c>
      <c r="C193" t="str">
        <f>"BRAZOS SCHOOL FOR INQUIRY AND CREATIVITY"</f>
        <v>BRAZOS SCHOOL FOR INQUIRY AND CREATIVITY</v>
      </c>
      <c r="D193" t="s">
        <v>11</v>
      </c>
      <c r="E193" t="s">
        <v>173</v>
      </c>
      <c r="F193" t="s">
        <v>174</v>
      </c>
      <c r="G193">
        <v>77802</v>
      </c>
      <c r="H193">
        <v>2010</v>
      </c>
      <c r="I193" s="1">
        <v>7537.54</v>
      </c>
      <c r="J193" s="1">
        <v>8375.0400000000009</v>
      </c>
      <c r="K193" s="1">
        <v>7537.54</v>
      </c>
    </row>
    <row r="194" spans="1:11" x14ac:dyDescent="0.35">
      <c r="A194">
        <v>730419</v>
      </c>
      <c r="B194">
        <v>2016467</v>
      </c>
      <c r="C194" t="str">
        <f>"BRAZOSPORT INDEP SCHOOL DIST"</f>
        <v>BRAZOSPORT INDEP SCHOOL DIST</v>
      </c>
      <c r="D194" t="s">
        <v>11</v>
      </c>
      <c r="E194" t="s">
        <v>175</v>
      </c>
      <c r="F194" t="s">
        <v>176</v>
      </c>
      <c r="G194">
        <v>77531</v>
      </c>
      <c r="H194">
        <v>2010</v>
      </c>
      <c r="I194" s="1">
        <v>38340</v>
      </c>
      <c r="J194" s="1">
        <v>54000</v>
      </c>
      <c r="K194" s="1">
        <v>38340</v>
      </c>
    </row>
    <row r="195" spans="1:11" x14ac:dyDescent="0.35">
      <c r="A195">
        <v>730419</v>
      </c>
      <c r="B195">
        <v>2016387</v>
      </c>
      <c r="C195" t="str">
        <f>"BRAZOSPORT INDEP SCHOOL DIST"</f>
        <v>BRAZOSPORT INDEP SCHOOL DIST</v>
      </c>
      <c r="D195" t="s">
        <v>11</v>
      </c>
      <c r="E195" t="s">
        <v>175</v>
      </c>
      <c r="F195" t="s">
        <v>176</v>
      </c>
      <c r="G195">
        <v>77531</v>
      </c>
      <c r="H195">
        <v>2010</v>
      </c>
      <c r="I195" s="1">
        <v>7321.88</v>
      </c>
      <c r="J195" s="1">
        <v>10312.5</v>
      </c>
      <c r="K195" s="1">
        <v>3714.19</v>
      </c>
    </row>
    <row r="196" spans="1:11" x14ac:dyDescent="0.35">
      <c r="A196">
        <v>745589</v>
      </c>
      <c r="B196">
        <v>2013061</v>
      </c>
      <c r="C196" t="str">
        <f>"BRECKENRIDGE I.S.D."</f>
        <v>BRECKENRIDGE I.S.D.</v>
      </c>
      <c r="D196" t="s">
        <v>11</v>
      </c>
      <c r="E196" t="s">
        <v>177</v>
      </c>
      <c r="F196" t="s">
        <v>178</v>
      </c>
      <c r="G196">
        <v>76424</v>
      </c>
      <c r="H196">
        <v>2010</v>
      </c>
      <c r="I196" s="1">
        <v>10507.2</v>
      </c>
      <c r="J196" s="1">
        <v>13134</v>
      </c>
      <c r="K196" s="1">
        <v>10507.2</v>
      </c>
    </row>
    <row r="197" spans="1:11" x14ac:dyDescent="0.35">
      <c r="A197">
        <v>765229</v>
      </c>
      <c r="B197">
        <v>2069296</v>
      </c>
      <c r="C197" t="str">
        <f>"BREMOND INDEP SCHOOL DISTRICT"</f>
        <v>BREMOND INDEP SCHOOL DISTRICT</v>
      </c>
      <c r="D197" t="s">
        <v>11</v>
      </c>
      <c r="E197" t="s">
        <v>179</v>
      </c>
      <c r="F197" t="s">
        <v>180</v>
      </c>
      <c r="G197">
        <v>76629</v>
      </c>
      <c r="H197">
        <v>2010</v>
      </c>
      <c r="I197" s="1">
        <v>0</v>
      </c>
      <c r="J197" s="1">
        <v>0</v>
      </c>
    </row>
    <row r="198" spans="1:11" x14ac:dyDescent="0.35">
      <c r="A198">
        <v>765229</v>
      </c>
      <c r="B198">
        <v>2069074</v>
      </c>
      <c r="C198" t="str">
        <f>"BREMOND INDEP SCHOOL DISTRICT"</f>
        <v>BREMOND INDEP SCHOOL DISTRICT</v>
      </c>
      <c r="D198" t="s">
        <v>11</v>
      </c>
      <c r="E198" t="s">
        <v>179</v>
      </c>
      <c r="F198" t="s">
        <v>180</v>
      </c>
      <c r="G198">
        <v>76629</v>
      </c>
      <c r="H198">
        <v>2010</v>
      </c>
      <c r="I198" s="1">
        <v>35127</v>
      </c>
      <c r="J198" s="1">
        <v>46836</v>
      </c>
      <c r="K198" s="1">
        <v>35127</v>
      </c>
    </row>
    <row r="199" spans="1:11" x14ac:dyDescent="0.35">
      <c r="A199">
        <v>745833</v>
      </c>
      <c r="B199">
        <v>2012947</v>
      </c>
      <c r="C199" t="str">
        <f>"BRENHAM INDEP SCHOOL DISTRICT"</f>
        <v>BRENHAM INDEP SCHOOL DISTRICT</v>
      </c>
      <c r="D199" t="s">
        <v>11</v>
      </c>
      <c r="E199" t="s">
        <v>181</v>
      </c>
      <c r="F199" t="s">
        <v>182</v>
      </c>
      <c r="G199">
        <v>77833</v>
      </c>
      <c r="H199">
        <v>2010</v>
      </c>
      <c r="I199" s="1">
        <v>18576.28</v>
      </c>
      <c r="J199" s="1">
        <v>24125.040000000001</v>
      </c>
      <c r="K199" s="1">
        <v>18576.28</v>
      </c>
    </row>
    <row r="200" spans="1:11" x14ac:dyDescent="0.35">
      <c r="A200">
        <v>743861</v>
      </c>
      <c r="B200">
        <v>2008256</v>
      </c>
      <c r="C200" t="str">
        <f>"BRENHAM INDEP SCHOOL DISTRICT"</f>
        <v>BRENHAM INDEP SCHOOL DISTRICT</v>
      </c>
      <c r="D200" t="s">
        <v>11</v>
      </c>
      <c r="E200" t="s">
        <v>181</v>
      </c>
      <c r="F200" t="s">
        <v>182</v>
      </c>
      <c r="G200">
        <v>77833</v>
      </c>
      <c r="H200">
        <v>2010</v>
      </c>
      <c r="I200" s="1">
        <v>36565.730000000003</v>
      </c>
      <c r="J200" s="1">
        <v>47487.96</v>
      </c>
      <c r="K200" s="1">
        <v>36565.730000000003</v>
      </c>
    </row>
    <row r="201" spans="1:11" x14ac:dyDescent="0.35">
      <c r="A201">
        <v>743111</v>
      </c>
      <c r="B201">
        <v>2006433</v>
      </c>
      <c r="C201" t="str">
        <f>"BRENHAM INDEP SCHOOL DISTRICT"</f>
        <v>BRENHAM INDEP SCHOOL DISTRICT</v>
      </c>
      <c r="D201" t="s">
        <v>11</v>
      </c>
      <c r="E201" t="s">
        <v>181</v>
      </c>
      <c r="F201" t="s">
        <v>182</v>
      </c>
      <c r="G201">
        <v>77833</v>
      </c>
      <c r="H201">
        <v>2010</v>
      </c>
      <c r="I201" s="1">
        <v>3684.45</v>
      </c>
      <c r="J201" s="1">
        <v>4785</v>
      </c>
      <c r="K201" s="1">
        <v>3684.45</v>
      </c>
    </row>
    <row r="202" spans="1:11" x14ac:dyDescent="0.35">
      <c r="A202">
        <v>729904</v>
      </c>
      <c r="B202">
        <v>1976622</v>
      </c>
      <c r="C202" t="str">
        <f>"BRIDGEPORT INDEP SCHOOL DIST"</f>
        <v>BRIDGEPORT INDEP SCHOOL DIST</v>
      </c>
      <c r="D202" t="s">
        <v>11</v>
      </c>
      <c r="E202" t="s">
        <v>183</v>
      </c>
      <c r="F202" t="s">
        <v>184</v>
      </c>
      <c r="G202">
        <v>76426</v>
      </c>
      <c r="H202">
        <v>2010</v>
      </c>
      <c r="I202" s="1">
        <v>15458.52</v>
      </c>
      <c r="J202" s="1">
        <v>20076</v>
      </c>
      <c r="K202" s="1">
        <v>15458.52</v>
      </c>
    </row>
    <row r="203" spans="1:11" x14ac:dyDescent="0.35">
      <c r="A203">
        <v>712876</v>
      </c>
      <c r="B203">
        <v>1946975</v>
      </c>
      <c r="C203" t="str">
        <f>"BROADDUS INDEP SCHOOL DISTRICT"</f>
        <v>BROADDUS INDEP SCHOOL DISTRICT</v>
      </c>
      <c r="D203" t="s">
        <v>11</v>
      </c>
      <c r="E203" t="s">
        <v>185</v>
      </c>
      <c r="F203" t="s">
        <v>186</v>
      </c>
      <c r="G203">
        <v>75929</v>
      </c>
      <c r="H203">
        <v>2010</v>
      </c>
      <c r="I203" s="1">
        <v>3240</v>
      </c>
      <c r="J203" s="1">
        <v>3600</v>
      </c>
      <c r="K203" s="1">
        <v>3240</v>
      </c>
    </row>
    <row r="204" spans="1:11" x14ac:dyDescent="0.35">
      <c r="A204">
        <v>755757</v>
      </c>
      <c r="B204">
        <v>2042251</v>
      </c>
      <c r="C204" t="str">
        <f>"BROK INDEPENDENT SCHOOL DIST."</f>
        <v>BROK INDEPENDENT SCHOOL DIST.</v>
      </c>
      <c r="D204" t="s">
        <v>11</v>
      </c>
      <c r="E204" t="s">
        <v>187</v>
      </c>
      <c r="F204" t="s">
        <v>188</v>
      </c>
      <c r="G204">
        <v>76087</v>
      </c>
      <c r="H204">
        <v>2010</v>
      </c>
      <c r="I204" s="1">
        <v>6720</v>
      </c>
      <c r="J204" s="1">
        <v>16800</v>
      </c>
      <c r="K204" s="1">
        <v>6720</v>
      </c>
    </row>
    <row r="205" spans="1:11" x14ac:dyDescent="0.35">
      <c r="A205">
        <v>740253</v>
      </c>
      <c r="B205">
        <v>1999096</v>
      </c>
      <c r="C205" t="str">
        <f>"BROOKESMITH SCHOOL DISTRICT"</f>
        <v>BROOKESMITH SCHOOL DISTRICT</v>
      </c>
      <c r="D205" t="s">
        <v>11</v>
      </c>
      <c r="E205" t="s">
        <v>189</v>
      </c>
      <c r="F205" t="s">
        <v>190</v>
      </c>
      <c r="G205">
        <v>76827</v>
      </c>
      <c r="H205">
        <v>2010</v>
      </c>
      <c r="I205" s="1">
        <v>1020</v>
      </c>
      <c r="J205" s="1">
        <v>1275</v>
      </c>
      <c r="K205" s="1">
        <v>1020</v>
      </c>
    </row>
    <row r="206" spans="1:11" x14ac:dyDescent="0.35">
      <c r="A206">
        <v>743811</v>
      </c>
      <c r="B206">
        <v>2007938</v>
      </c>
      <c r="C206" t="str">
        <f>"BROOKS COUNTY INDEP SCH DIST"</f>
        <v>BROOKS COUNTY INDEP SCH DIST</v>
      </c>
      <c r="D206" t="s">
        <v>11</v>
      </c>
      <c r="E206" t="s">
        <v>191</v>
      </c>
      <c r="F206" t="s">
        <v>192</v>
      </c>
      <c r="G206">
        <v>78355</v>
      </c>
      <c r="H206">
        <v>2010</v>
      </c>
      <c r="I206" s="1">
        <v>10710</v>
      </c>
      <c r="J206" s="1">
        <v>11900</v>
      </c>
      <c r="K206" s="1">
        <v>10710</v>
      </c>
    </row>
    <row r="207" spans="1:11" x14ac:dyDescent="0.35">
      <c r="A207">
        <v>743811</v>
      </c>
      <c r="B207">
        <v>2008348</v>
      </c>
      <c r="C207" t="str">
        <f>"BROOKS COUNTY INDEP SCH DIST"</f>
        <v>BROOKS COUNTY INDEP SCH DIST</v>
      </c>
      <c r="D207" t="s">
        <v>11</v>
      </c>
      <c r="E207" t="s">
        <v>191</v>
      </c>
      <c r="F207" t="s">
        <v>192</v>
      </c>
      <c r="G207">
        <v>78355</v>
      </c>
      <c r="H207">
        <v>2010</v>
      </c>
      <c r="I207" s="1">
        <v>0</v>
      </c>
      <c r="J207" s="1">
        <v>0</v>
      </c>
    </row>
    <row r="208" spans="1:11" x14ac:dyDescent="0.35">
      <c r="A208">
        <v>743811</v>
      </c>
      <c r="B208">
        <v>2007896</v>
      </c>
      <c r="C208" t="str">
        <f>"BROOKS COUNTY INDEP SCH DIST"</f>
        <v>BROOKS COUNTY INDEP SCH DIST</v>
      </c>
      <c r="D208" t="s">
        <v>11</v>
      </c>
      <c r="E208" t="s">
        <v>191</v>
      </c>
      <c r="F208" t="s">
        <v>192</v>
      </c>
      <c r="G208">
        <v>78355</v>
      </c>
      <c r="H208">
        <v>2010</v>
      </c>
      <c r="I208" s="1">
        <v>25838.03</v>
      </c>
      <c r="J208" s="1">
        <v>28708.92</v>
      </c>
      <c r="K208" s="1">
        <v>25838.03</v>
      </c>
    </row>
    <row r="209" spans="1:11" x14ac:dyDescent="0.35">
      <c r="A209">
        <v>760812</v>
      </c>
      <c r="B209">
        <v>2062208</v>
      </c>
      <c r="C209" t="str">
        <f>"BROWNFIELD INDEP SCHOOL DIST"</f>
        <v>BROWNFIELD INDEP SCHOOL DIST</v>
      </c>
      <c r="D209" t="s">
        <v>11</v>
      </c>
      <c r="E209" t="s">
        <v>193</v>
      </c>
      <c r="F209" t="s">
        <v>194</v>
      </c>
      <c r="G209">
        <v>79316</v>
      </c>
      <c r="H209">
        <v>2010</v>
      </c>
      <c r="I209" s="1">
        <v>48960</v>
      </c>
      <c r="J209" s="1">
        <v>57600</v>
      </c>
      <c r="K209" s="1">
        <v>7156.72</v>
      </c>
    </row>
    <row r="210" spans="1:11" x14ac:dyDescent="0.35">
      <c r="A210">
        <v>760812</v>
      </c>
      <c r="B210">
        <v>2061253</v>
      </c>
      <c r="C210" t="str">
        <f>"BROWNFIELD INDEP SCHOOL DIST"</f>
        <v>BROWNFIELD INDEP SCHOOL DIST</v>
      </c>
      <c r="D210" t="s">
        <v>11</v>
      </c>
      <c r="E210" t="s">
        <v>193</v>
      </c>
      <c r="F210" t="s">
        <v>194</v>
      </c>
      <c r="G210">
        <v>79316</v>
      </c>
      <c r="H210">
        <v>2010</v>
      </c>
      <c r="I210" s="1">
        <v>14729.57</v>
      </c>
      <c r="J210" s="1">
        <v>17328.900000000001</v>
      </c>
      <c r="K210" s="1">
        <v>14729.57</v>
      </c>
    </row>
    <row r="211" spans="1:11" x14ac:dyDescent="0.35">
      <c r="A211">
        <v>760812</v>
      </c>
      <c r="B211">
        <v>2061338</v>
      </c>
      <c r="C211" t="str">
        <f>"BROWNFIELD INDEP SCHOOL DIST"</f>
        <v>BROWNFIELD INDEP SCHOOL DIST</v>
      </c>
      <c r="D211" t="s">
        <v>11</v>
      </c>
      <c r="E211" t="s">
        <v>193</v>
      </c>
      <c r="F211" t="s">
        <v>194</v>
      </c>
      <c r="G211">
        <v>79316</v>
      </c>
      <c r="H211">
        <v>2010</v>
      </c>
      <c r="I211" s="1">
        <v>12240</v>
      </c>
      <c r="J211" s="1">
        <v>14400</v>
      </c>
      <c r="K211" s="1">
        <v>10455</v>
      </c>
    </row>
    <row r="212" spans="1:11" x14ac:dyDescent="0.35">
      <c r="A212">
        <v>723954</v>
      </c>
      <c r="B212">
        <v>1993299</v>
      </c>
      <c r="C212" t="str">
        <f>"BROWNSBORO INDEP SCHOOL DIST"</f>
        <v>BROWNSBORO INDEP SCHOOL DIST</v>
      </c>
      <c r="D212" t="s">
        <v>11</v>
      </c>
      <c r="E212" t="s">
        <v>195</v>
      </c>
      <c r="F212" t="s">
        <v>196</v>
      </c>
      <c r="G212">
        <v>75756</v>
      </c>
      <c r="H212">
        <v>2010</v>
      </c>
      <c r="I212" s="1">
        <v>14172.48</v>
      </c>
      <c r="J212" s="1">
        <v>19152</v>
      </c>
      <c r="K212" s="1">
        <v>14172.48</v>
      </c>
    </row>
    <row r="213" spans="1:11" x14ac:dyDescent="0.35">
      <c r="A213">
        <v>746527</v>
      </c>
      <c r="B213">
        <v>2033900</v>
      </c>
      <c r="C213" t="str">
        <f t="shared" ref="C213:C221" si="4">"BROWNSVILLE INDEPENDENT SCHOOL DISTRICT"</f>
        <v>BROWNSVILLE INDEPENDENT SCHOOL DISTRICT</v>
      </c>
      <c r="D213" t="s">
        <v>11</v>
      </c>
      <c r="E213" t="s">
        <v>197</v>
      </c>
      <c r="F213" t="s">
        <v>198</v>
      </c>
      <c r="G213">
        <v>78521</v>
      </c>
      <c r="H213">
        <v>2010</v>
      </c>
      <c r="I213" s="1">
        <v>36180</v>
      </c>
      <c r="J213" s="1">
        <v>40200</v>
      </c>
    </row>
    <row r="214" spans="1:11" x14ac:dyDescent="0.35">
      <c r="A214">
        <v>746527</v>
      </c>
      <c r="B214">
        <v>2033926</v>
      </c>
      <c r="C214" t="str">
        <f t="shared" si="4"/>
        <v>BROWNSVILLE INDEPENDENT SCHOOL DISTRICT</v>
      </c>
      <c r="D214" t="s">
        <v>11</v>
      </c>
      <c r="E214" t="s">
        <v>197</v>
      </c>
      <c r="F214" t="s">
        <v>198</v>
      </c>
      <c r="G214">
        <v>78521</v>
      </c>
      <c r="H214">
        <v>2010</v>
      </c>
      <c r="I214" s="1">
        <v>276750</v>
      </c>
      <c r="J214" s="1">
        <v>307500</v>
      </c>
    </row>
    <row r="215" spans="1:11" x14ac:dyDescent="0.35">
      <c r="A215">
        <v>746527</v>
      </c>
      <c r="B215">
        <v>2033890</v>
      </c>
      <c r="C215" t="str">
        <f t="shared" si="4"/>
        <v>BROWNSVILLE INDEPENDENT SCHOOL DISTRICT</v>
      </c>
      <c r="D215" t="s">
        <v>11</v>
      </c>
      <c r="E215" t="s">
        <v>197</v>
      </c>
      <c r="F215" t="s">
        <v>198</v>
      </c>
      <c r="G215">
        <v>78521</v>
      </c>
      <c r="H215">
        <v>2010</v>
      </c>
      <c r="I215" s="1">
        <v>18360</v>
      </c>
      <c r="J215" s="1">
        <v>20400</v>
      </c>
      <c r="K215" s="1">
        <v>18360</v>
      </c>
    </row>
    <row r="216" spans="1:11" x14ac:dyDescent="0.35">
      <c r="A216">
        <v>746527</v>
      </c>
      <c r="B216">
        <v>2033930</v>
      </c>
      <c r="C216" t="str">
        <f t="shared" si="4"/>
        <v>BROWNSVILLE INDEPENDENT SCHOOL DISTRICT</v>
      </c>
      <c r="D216" t="s">
        <v>11</v>
      </c>
      <c r="E216" t="s">
        <v>197</v>
      </c>
      <c r="F216" t="s">
        <v>198</v>
      </c>
      <c r="G216">
        <v>78521</v>
      </c>
      <c r="H216">
        <v>2010</v>
      </c>
      <c r="I216" s="1">
        <v>36824.400000000001</v>
      </c>
      <c r="J216" s="1">
        <v>40916</v>
      </c>
    </row>
    <row r="217" spans="1:11" x14ac:dyDescent="0.35">
      <c r="A217">
        <v>746527</v>
      </c>
      <c r="B217">
        <v>2033909</v>
      </c>
      <c r="C217" t="str">
        <f t="shared" si="4"/>
        <v>BROWNSVILLE INDEPENDENT SCHOOL DISTRICT</v>
      </c>
      <c r="D217" t="s">
        <v>11</v>
      </c>
      <c r="E217" t="s">
        <v>197</v>
      </c>
      <c r="F217" t="s">
        <v>198</v>
      </c>
      <c r="G217">
        <v>78521</v>
      </c>
      <c r="H217">
        <v>2010</v>
      </c>
      <c r="I217" s="1">
        <v>52920</v>
      </c>
      <c r="J217" s="1">
        <v>58800</v>
      </c>
      <c r="K217" s="1">
        <v>52920</v>
      </c>
    </row>
    <row r="218" spans="1:11" x14ac:dyDescent="0.35">
      <c r="A218">
        <v>746527</v>
      </c>
      <c r="B218">
        <v>2033912</v>
      </c>
      <c r="C218" t="str">
        <f t="shared" si="4"/>
        <v>BROWNSVILLE INDEPENDENT SCHOOL DISTRICT</v>
      </c>
      <c r="D218" t="s">
        <v>11</v>
      </c>
      <c r="E218" t="s">
        <v>197</v>
      </c>
      <c r="F218" t="s">
        <v>198</v>
      </c>
      <c r="G218">
        <v>78521</v>
      </c>
      <c r="H218">
        <v>2010</v>
      </c>
      <c r="I218" s="1">
        <v>157010.4</v>
      </c>
      <c r="J218" s="1">
        <v>174456</v>
      </c>
      <c r="K218" s="1">
        <v>157010.4</v>
      </c>
    </row>
    <row r="219" spans="1:11" x14ac:dyDescent="0.35">
      <c r="A219">
        <v>746527</v>
      </c>
      <c r="B219">
        <v>2033914</v>
      </c>
      <c r="C219" t="str">
        <f t="shared" si="4"/>
        <v>BROWNSVILLE INDEPENDENT SCHOOL DISTRICT</v>
      </c>
      <c r="D219" t="s">
        <v>11</v>
      </c>
      <c r="E219" t="s">
        <v>197</v>
      </c>
      <c r="F219" t="s">
        <v>198</v>
      </c>
      <c r="G219">
        <v>78521</v>
      </c>
      <c r="H219">
        <v>2010</v>
      </c>
      <c r="I219" s="1">
        <v>211377.6</v>
      </c>
      <c r="J219" s="1">
        <v>234864</v>
      </c>
      <c r="K219" s="1">
        <v>211377.6</v>
      </c>
    </row>
    <row r="220" spans="1:11" x14ac:dyDescent="0.35">
      <c r="A220">
        <v>746527</v>
      </c>
      <c r="B220">
        <v>2033920</v>
      </c>
      <c r="C220" t="str">
        <f t="shared" si="4"/>
        <v>BROWNSVILLE INDEPENDENT SCHOOL DISTRICT</v>
      </c>
      <c r="D220" t="s">
        <v>11</v>
      </c>
      <c r="E220" t="s">
        <v>197</v>
      </c>
      <c r="F220" t="s">
        <v>198</v>
      </c>
      <c r="G220">
        <v>78521</v>
      </c>
      <c r="H220">
        <v>2010</v>
      </c>
      <c r="I220" s="1">
        <v>21600</v>
      </c>
      <c r="J220" s="1">
        <v>24000</v>
      </c>
    </row>
    <row r="221" spans="1:11" x14ac:dyDescent="0.35">
      <c r="A221">
        <v>732650</v>
      </c>
      <c r="B221">
        <v>1998795</v>
      </c>
      <c r="C221" t="str">
        <f t="shared" si="4"/>
        <v>BROWNSVILLE INDEPENDENT SCHOOL DISTRICT</v>
      </c>
      <c r="D221" t="s">
        <v>11</v>
      </c>
      <c r="E221" t="s">
        <v>197</v>
      </c>
      <c r="F221" t="s">
        <v>198</v>
      </c>
      <c r="G221">
        <v>78521</v>
      </c>
      <c r="H221">
        <v>2010</v>
      </c>
      <c r="I221" s="1">
        <v>98928</v>
      </c>
      <c r="J221" s="1">
        <v>109920</v>
      </c>
      <c r="K221" s="1">
        <v>98928</v>
      </c>
    </row>
    <row r="222" spans="1:11" x14ac:dyDescent="0.35">
      <c r="A222">
        <v>751313</v>
      </c>
      <c r="B222">
        <v>2031177</v>
      </c>
      <c r="C222" t="str">
        <f>"BRUCEVILLE-EDDY SCHOOL DIST"</f>
        <v>BRUCEVILLE-EDDY SCHOOL DIST</v>
      </c>
      <c r="D222" t="s">
        <v>11</v>
      </c>
      <c r="E222" t="s">
        <v>199</v>
      </c>
      <c r="F222" t="s">
        <v>200</v>
      </c>
      <c r="G222">
        <v>76524</v>
      </c>
      <c r="H222">
        <v>2010</v>
      </c>
      <c r="I222" s="1">
        <v>8100</v>
      </c>
      <c r="J222" s="1">
        <v>10800</v>
      </c>
      <c r="K222" s="1">
        <v>8100</v>
      </c>
    </row>
    <row r="223" spans="1:11" x14ac:dyDescent="0.35">
      <c r="A223">
        <v>753871</v>
      </c>
      <c r="B223">
        <v>2037400</v>
      </c>
      <c r="C223" t="str">
        <f>"BRUCEVILLE-EDDY SCHOOL DIST"</f>
        <v>BRUCEVILLE-EDDY SCHOOL DIST</v>
      </c>
      <c r="D223" t="s">
        <v>11</v>
      </c>
      <c r="E223" t="s">
        <v>199</v>
      </c>
      <c r="F223" t="s">
        <v>200</v>
      </c>
      <c r="G223">
        <v>76524</v>
      </c>
      <c r="H223">
        <v>2010</v>
      </c>
      <c r="I223" s="1">
        <v>8802</v>
      </c>
      <c r="J223" s="1">
        <v>11736</v>
      </c>
      <c r="K223" s="1">
        <v>0</v>
      </c>
    </row>
    <row r="224" spans="1:11" x14ac:dyDescent="0.35">
      <c r="A224">
        <v>763013</v>
      </c>
      <c r="B224">
        <v>2071958</v>
      </c>
      <c r="C224" t="str">
        <f>"BRYAN INDEP SCHOOL DISTRICT"</f>
        <v>BRYAN INDEP SCHOOL DISTRICT</v>
      </c>
      <c r="D224" t="s">
        <v>11</v>
      </c>
      <c r="E224" t="s">
        <v>201</v>
      </c>
      <c r="F224" t="s">
        <v>202</v>
      </c>
      <c r="G224">
        <v>77803</v>
      </c>
      <c r="H224">
        <v>2010</v>
      </c>
      <c r="I224" s="1">
        <v>0</v>
      </c>
      <c r="J224" s="1">
        <v>0</v>
      </c>
    </row>
    <row r="225" spans="1:11" x14ac:dyDescent="0.35">
      <c r="A225">
        <v>704224</v>
      </c>
      <c r="B225">
        <v>2054744</v>
      </c>
      <c r="C225" t="str">
        <f>"BRYAN INDEP SCHOOL DISTRICT"</f>
        <v>BRYAN INDEP SCHOOL DISTRICT</v>
      </c>
      <c r="D225" t="s">
        <v>11</v>
      </c>
      <c r="E225" t="s">
        <v>201</v>
      </c>
      <c r="F225" t="s">
        <v>202</v>
      </c>
      <c r="G225">
        <v>77803</v>
      </c>
      <c r="H225">
        <v>2010</v>
      </c>
      <c r="I225" s="1">
        <v>294506.28000000003</v>
      </c>
      <c r="J225" s="1">
        <v>363588</v>
      </c>
      <c r="K225" s="1">
        <v>189506.28</v>
      </c>
    </row>
    <row r="226" spans="1:11" x14ac:dyDescent="0.35">
      <c r="A226">
        <v>705980</v>
      </c>
      <c r="B226">
        <v>1937963</v>
      </c>
      <c r="C226" t="str">
        <f>"BRYSON INDEP SCHOOL DISTRICT"</f>
        <v>BRYSON INDEP SCHOOL DISTRICT</v>
      </c>
      <c r="D226" t="s">
        <v>11</v>
      </c>
      <c r="E226" t="s">
        <v>203</v>
      </c>
      <c r="F226" t="s">
        <v>204</v>
      </c>
      <c r="G226">
        <v>76427</v>
      </c>
      <c r="H226">
        <v>2010</v>
      </c>
      <c r="I226" s="1">
        <v>1105.8</v>
      </c>
      <c r="J226" s="1">
        <v>1382.25</v>
      </c>
      <c r="K226" s="1">
        <v>1105.8</v>
      </c>
    </row>
    <row r="227" spans="1:11" x14ac:dyDescent="0.35">
      <c r="A227">
        <v>705980</v>
      </c>
      <c r="B227">
        <v>1935346</v>
      </c>
      <c r="C227" t="str">
        <f>"BRYSON INDEP SCHOOL DISTRICT"</f>
        <v>BRYSON INDEP SCHOOL DISTRICT</v>
      </c>
      <c r="D227" t="s">
        <v>11</v>
      </c>
      <c r="E227" t="s">
        <v>203</v>
      </c>
      <c r="F227" t="s">
        <v>204</v>
      </c>
      <c r="G227">
        <v>76427</v>
      </c>
      <c r="H227">
        <v>2010</v>
      </c>
      <c r="I227" s="1">
        <v>4263.84</v>
      </c>
      <c r="J227" s="1">
        <v>5329.8</v>
      </c>
      <c r="K227" s="1">
        <v>4263.84</v>
      </c>
    </row>
    <row r="228" spans="1:11" x14ac:dyDescent="0.35">
      <c r="A228">
        <v>767422</v>
      </c>
      <c r="B228">
        <v>2076210</v>
      </c>
      <c r="C228" t="str">
        <f>"BUFFALO INDEP SCHOOL DISTRICT"</f>
        <v>BUFFALO INDEP SCHOOL DISTRICT</v>
      </c>
      <c r="D228" t="s">
        <v>11</v>
      </c>
      <c r="E228" t="s">
        <v>205</v>
      </c>
      <c r="F228" t="s">
        <v>206</v>
      </c>
      <c r="G228">
        <v>75831</v>
      </c>
      <c r="H228">
        <v>2010</v>
      </c>
      <c r="I228" s="1">
        <v>6700.04</v>
      </c>
      <c r="J228" s="1">
        <v>8375.0499999999993</v>
      </c>
      <c r="K228" s="1">
        <v>2799.96</v>
      </c>
    </row>
    <row r="229" spans="1:11" x14ac:dyDescent="0.35">
      <c r="A229">
        <v>767422</v>
      </c>
      <c r="B229">
        <v>2075936</v>
      </c>
      <c r="C229" t="str">
        <f>"BUFFALO INDEP SCHOOL DISTRICT"</f>
        <v>BUFFALO INDEP SCHOOL DISTRICT</v>
      </c>
      <c r="D229" t="s">
        <v>11</v>
      </c>
      <c r="E229" t="s">
        <v>205</v>
      </c>
      <c r="F229" t="s">
        <v>206</v>
      </c>
      <c r="G229">
        <v>75831</v>
      </c>
      <c r="H229">
        <v>2010</v>
      </c>
      <c r="I229" s="1">
        <v>21120</v>
      </c>
      <c r="J229" s="1">
        <v>26400</v>
      </c>
      <c r="K229" s="1">
        <v>21120</v>
      </c>
    </row>
    <row r="230" spans="1:11" x14ac:dyDescent="0.35">
      <c r="A230">
        <v>756168</v>
      </c>
      <c r="B230">
        <v>2043745</v>
      </c>
      <c r="C230" t="str">
        <f>"BUFFALO INDEP SCHOOL DISTRICT"</f>
        <v>BUFFALO INDEP SCHOOL DISTRICT</v>
      </c>
      <c r="D230" t="s">
        <v>11</v>
      </c>
      <c r="E230" t="s">
        <v>205</v>
      </c>
      <c r="F230" t="s">
        <v>206</v>
      </c>
      <c r="G230">
        <v>75831</v>
      </c>
      <c r="H230">
        <v>2010</v>
      </c>
      <c r="I230" s="1">
        <v>1685.6</v>
      </c>
      <c r="J230" s="1">
        <v>2107</v>
      </c>
      <c r="K230" s="1">
        <v>1685.6</v>
      </c>
    </row>
    <row r="231" spans="1:11" x14ac:dyDescent="0.35">
      <c r="A231">
        <v>707006</v>
      </c>
      <c r="B231">
        <v>2020800</v>
      </c>
      <c r="C231" t="str">
        <f>"BULLARD INDEP SCHOOL DISTRICT"</f>
        <v>BULLARD INDEP SCHOOL DISTRICT</v>
      </c>
      <c r="D231" t="s">
        <v>11</v>
      </c>
      <c r="E231" t="s">
        <v>207</v>
      </c>
      <c r="F231" t="s">
        <v>208</v>
      </c>
      <c r="G231">
        <v>75757</v>
      </c>
      <c r="H231">
        <v>2010</v>
      </c>
      <c r="I231" s="1">
        <v>23155</v>
      </c>
      <c r="J231" s="1">
        <v>42100</v>
      </c>
      <c r="K231" s="1">
        <v>9900</v>
      </c>
    </row>
    <row r="232" spans="1:11" x14ac:dyDescent="0.35">
      <c r="A232">
        <v>735736</v>
      </c>
      <c r="B232">
        <v>1988507</v>
      </c>
      <c r="C232" t="str">
        <f>"BUNA INDEP SCHOOL DISTRICT"</f>
        <v>BUNA INDEP SCHOOL DISTRICT</v>
      </c>
      <c r="D232" t="s">
        <v>11</v>
      </c>
      <c r="E232" t="s">
        <v>209</v>
      </c>
      <c r="F232" t="s">
        <v>210</v>
      </c>
      <c r="G232">
        <v>77612</v>
      </c>
      <c r="H232">
        <v>2010</v>
      </c>
      <c r="I232" s="1">
        <v>1699.11</v>
      </c>
      <c r="J232" s="1">
        <v>2740.5</v>
      </c>
      <c r="K232" s="1">
        <v>1699.11</v>
      </c>
    </row>
    <row r="233" spans="1:11" x14ac:dyDescent="0.35">
      <c r="A233">
        <v>705049</v>
      </c>
      <c r="B233">
        <v>1960020</v>
      </c>
      <c r="C233" t="str">
        <f>"BURKBURNETT INDEP SCH DISTRICT"</f>
        <v>BURKBURNETT INDEP SCH DISTRICT</v>
      </c>
      <c r="D233" t="s">
        <v>11</v>
      </c>
      <c r="E233" t="s">
        <v>211</v>
      </c>
      <c r="F233" t="s">
        <v>212</v>
      </c>
      <c r="G233">
        <v>76354</v>
      </c>
      <c r="H233">
        <v>2010</v>
      </c>
      <c r="I233" s="1">
        <v>6388.45</v>
      </c>
      <c r="J233" s="1">
        <v>10303.950000000001</v>
      </c>
      <c r="K233" s="1">
        <v>6388.45</v>
      </c>
    </row>
    <row r="234" spans="1:11" x14ac:dyDescent="0.35">
      <c r="A234">
        <v>705049</v>
      </c>
      <c r="B234">
        <v>1959939</v>
      </c>
      <c r="C234" t="str">
        <f>"BURKBURNETT INDEP SCH DISTRICT"</f>
        <v>BURKBURNETT INDEP SCH DISTRICT</v>
      </c>
      <c r="D234" t="s">
        <v>11</v>
      </c>
      <c r="E234" t="s">
        <v>211</v>
      </c>
      <c r="F234" t="s">
        <v>212</v>
      </c>
      <c r="G234">
        <v>76354</v>
      </c>
      <c r="H234">
        <v>2010</v>
      </c>
      <c r="I234" s="1">
        <v>10280.59</v>
      </c>
      <c r="J234" s="1">
        <v>16581.599999999999</v>
      </c>
      <c r="K234" s="1">
        <v>10280.59</v>
      </c>
    </row>
    <row r="235" spans="1:11" x14ac:dyDescent="0.35">
      <c r="A235">
        <v>705049</v>
      </c>
      <c r="B235">
        <v>1959981</v>
      </c>
      <c r="C235" t="str">
        <f>"BURKBURNETT INDEP SCH DISTRICT"</f>
        <v>BURKBURNETT INDEP SCH DISTRICT</v>
      </c>
      <c r="D235" t="s">
        <v>11</v>
      </c>
      <c r="E235" t="s">
        <v>211</v>
      </c>
      <c r="F235" t="s">
        <v>212</v>
      </c>
      <c r="G235">
        <v>76354</v>
      </c>
      <c r="H235">
        <v>2010</v>
      </c>
      <c r="I235" s="1">
        <v>2821</v>
      </c>
      <c r="J235" s="1">
        <v>4550</v>
      </c>
      <c r="K235" s="1">
        <v>2821</v>
      </c>
    </row>
    <row r="236" spans="1:11" x14ac:dyDescent="0.35">
      <c r="A236">
        <v>705049</v>
      </c>
      <c r="B236">
        <v>1963809</v>
      </c>
      <c r="C236" t="str">
        <f>"BURKBURNETT INDEP SCH DISTRICT"</f>
        <v>BURKBURNETT INDEP SCH DISTRICT</v>
      </c>
      <c r="D236" t="s">
        <v>11</v>
      </c>
      <c r="E236" t="s">
        <v>211</v>
      </c>
      <c r="F236" t="s">
        <v>212</v>
      </c>
      <c r="G236">
        <v>76354</v>
      </c>
      <c r="H236">
        <v>2010</v>
      </c>
      <c r="I236" s="1">
        <v>1860</v>
      </c>
      <c r="J236" s="1">
        <v>3000</v>
      </c>
      <c r="K236" s="1">
        <v>1860</v>
      </c>
    </row>
    <row r="237" spans="1:11" x14ac:dyDescent="0.35">
      <c r="A237">
        <v>703195</v>
      </c>
      <c r="B237">
        <v>1984025</v>
      </c>
      <c r="C237" t="str">
        <f>"BURKEVILLE INDEP SCHOOL DIST"</f>
        <v>BURKEVILLE INDEP SCHOOL DIST</v>
      </c>
      <c r="D237" t="s">
        <v>11</v>
      </c>
      <c r="E237" t="s">
        <v>213</v>
      </c>
      <c r="F237" t="s">
        <v>214</v>
      </c>
      <c r="G237">
        <v>75932</v>
      </c>
      <c r="H237">
        <v>2010</v>
      </c>
      <c r="I237" s="1">
        <v>1568.23</v>
      </c>
      <c r="J237" s="1">
        <v>1823.52</v>
      </c>
      <c r="K237" s="1">
        <v>1568.23</v>
      </c>
    </row>
    <row r="238" spans="1:11" x14ac:dyDescent="0.35">
      <c r="A238">
        <v>713173</v>
      </c>
      <c r="B238">
        <v>1949247</v>
      </c>
      <c r="C238" t="str">
        <f>"BURLESON INDEP SCHOOL DISTRICT"</f>
        <v>BURLESON INDEP SCHOOL DISTRICT</v>
      </c>
      <c r="D238" t="s">
        <v>11</v>
      </c>
      <c r="E238" t="s">
        <v>215</v>
      </c>
      <c r="F238" t="s">
        <v>216</v>
      </c>
      <c r="G238">
        <v>76028</v>
      </c>
      <c r="H238">
        <v>2010</v>
      </c>
      <c r="I238" s="1">
        <v>24138</v>
      </c>
      <c r="J238" s="1">
        <v>44700</v>
      </c>
      <c r="K238" s="1">
        <v>21740.400000000001</v>
      </c>
    </row>
    <row r="239" spans="1:11" x14ac:dyDescent="0.35">
      <c r="A239">
        <v>713173</v>
      </c>
      <c r="B239">
        <v>1949251</v>
      </c>
      <c r="C239" t="str">
        <f>"BURLESON INDEP SCHOOL DISTRICT"</f>
        <v>BURLESON INDEP SCHOOL DISTRICT</v>
      </c>
      <c r="D239" t="s">
        <v>11</v>
      </c>
      <c r="E239" t="s">
        <v>215</v>
      </c>
      <c r="F239" t="s">
        <v>216</v>
      </c>
      <c r="G239">
        <v>76028</v>
      </c>
      <c r="H239">
        <v>2010</v>
      </c>
      <c r="I239" s="1">
        <v>7703.49</v>
      </c>
      <c r="J239" s="1">
        <v>14265.72</v>
      </c>
      <c r="K239" s="1">
        <v>7703.49</v>
      </c>
    </row>
    <row r="240" spans="1:11" x14ac:dyDescent="0.35">
      <c r="A240">
        <v>737043</v>
      </c>
      <c r="B240">
        <v>2002190</v>
      </c>
      <c r="C240" t="str">
        <f>"BURNET CONS INDEP SCH DISTRICT"</f>
        <v>BURNET CONS INDEP SCH DISTRICT</v>
      </c>
      <c r="D240" t="s">
        <v>11</v>
      </c>
      <c r="E240" t="s">
        <v>217</v>
      </c>
      <c r="F240" t="s">
        <v>218</v>
      </c>
      <c r="G240">
        <v>78611</v>
      </c>
      <c r="H240">
        <v>2010</v>
      </c>
      <c r="I240" s="1">
        <v>2840.88</v>
      </c>
      <c r="J240" s="1">
        <v>3738</v>
      </c>
      <c r="K240" s="1">
        <v>1031.02</v>
      </c>
    </row>
    <row r="241" spans="1:11" x14ac:dyDescent="0.35">
      <c r="A241">
        <v>737043</v>
      </c>
      <c r="B241">
        <v>1991863</v>
      </c>
      <c r="C241" t="str">
        <f>"BURNET CONS INDEP SCH DISTRICT"</f>
        <v>BURNET CONS INDEP SCH DISTRICT</v>
      </c>
      <c r="D241" t="s">
        <v>11</v>
      </c>
      <c r="E241" t="s">
        <v>217</v>
      </c>
      <c r="F241" t="s">
        <v>218</v>
      </c>
      <c r="G241">
        <v>78611</v>
      </c>
      <c r="H241">
        <v>2010</v>
      </c>
      <c r="I241" s="1">
        <v>11445.6</v>
      </c>
      <c r="J241" s="1">
        <v>15060</v>
      </c>
      <c r="K241" s="1">
        <v>11445.6</v>
      </c>
    </row>
    <row r="242" spans="1:11" x14ac:dyDescent="0.35">
      <c r="A242">
        <v>737043</v>
      </c>
      <c r="B242">
        <v>2028500</v>
      </c>
      <c r="C242" t="str">
        <f>"BURNET CONS INDEP SCH DISTRICT"</f>
        <v>BURNET CONS INDEP SCH DISTRICT</v>
      </c>
      <c r="D242" t="s">
        <v>11</v>
      </c>
      <c r="E242" t="s">
        <v>217</v>
      </c>
      <c r="F242" t="s">
        <v>218</v>
      </c>
      <c r="G242">
        <v>78611</v>
      </c>
      <c r="H242">
        <v>2010</v>
      </c>
      <c r="I242" s="1">
        <v>6201.6</v>
      </c>
      <c r="J242" s="1">
        <v>8160</v>
      </c>
      <c r="K242" s="1">
        <v>6201.6</v>
      </c>
    </row>
    <row r="243" spans="1:11" x14ac:dyDescent="0.35">
      <c r="A243">
        <v>753025</v>
      </c>
      <c r="B243">
        <v>2036697</v>
      </c>
      <c r="C243" t="str">
        <f>"BURNHAM  WOOD CHARTER SCHOOL"</f>
        <v>BURNHAM  WOOD CHARTER SCHOOL</v>
      </c>
      <c r="D243" t="s">
        <v>11</v>
      </c>
      <c r="E243" t="s">
        <v>219</v>
      </c>
      <c r="F243" t="s">
        <v>220</v>
      </c>
      <c r="G243">
        <v>79912</v>
      </c>
      <c r="H243">
        <v>2010</v>
      </c>
      <c r="I243" s="1">
        <v>3040.03</v>
      </c>
      <c r="J243" s="1">
        <v>3800.04</v>
      </c>
      <c r="K243" s="1">
        <v>3040</v>
      </c>
    </row>
    <row r="244" spans="1:11" x14ac:dyDescent="0.35">
      <c r="A244">
        <v>753025</v>
      </c>
      <c r="B244">
        <v>2036749</v>
      </c>
      <c r="C244" t="str">
        <f>"BURNHAM  WOOD CHARTER SCHOOL"</f>
        <v>BURNHAM  WOOD CHARTER SCHOOL</v>
      </c>
      <c r="D244" t="s">
        <v>11</v>
      </c>
      <c r="E244" t="s">
        <v>219</v>
      </c>
      <c r="F244" t="s">
        <v>220</v>
      </c>
      <c r="G244">
        <v>79912</v>
      </c>
      <c r="H244">
        <v>2010</v>
      </c>
      <c r="I244" s="1">
        <v>15200.06</v>
      </c>
      <c r="J244" s="1">
        <v>19000.080000000002</v>
      </c>
      <c r="K244" s="1">
        <v>15200</v>
      </c>
    </row>
    <row r="245" spans="1:11" x14ac:dyDescent="0.35">
      <c r="A245">
        <v>723305</v>
      </c>
      <c r="B245">
        <v>1960293</v>
      </c>
      <c r="C245" t="str">
        <f>"BURTON INDEP SCHOOL DISTRICT"</f>
        <v>BURTON INDEP SCHOOL DISTRICT</v>
      </c>
      <c r="D245" t="s">
        <v>11</v>
      </c>
      <c r="E245" t="s">
        <v>221</v>
      </c>
      <c r="F245" t="s">
        <v>222</v>
      </c>
      <c r="G245">
        <v>77835</v>
      </c>
      <c r="H245">
        <v>2010</v>
      </c>
      <c r="I245" s="1">
        <v>17073</v>
      </c>
      <c r="J245" s="1">
        <v>24390</v>
      </c>
      <c r="K245" s="1">
        <v>11954.25</v>
      </c>
    </row>
    <row r="246" spans="1:11" x14ac:dyDescent="0.35">
      <c r="A246">
        <v>723305</v>
      </c>
      <c r="B246">
        <v>1960296</v>
      </c>
      <c r="C246" t="str">
        <f>"BURTON INDEP SCHOOL DISTRICT"</f>
        <v>BURTON INDEP SCHOOL DISTRICT</v>
      </c>
      <c r="D246" t="s">
        <v>11</v>
      </c>
      <c r="E246" t="s">
        <v>221</v>
      </c>
      <c r="F246" t="s">
        <v>222</v>
      </c>
      <c r="G246">
        <v>77835</v>
      </c>
      <c r="H246">
        <v>2010</v>
      </c>
      <c r="I246" s="1">
        <v>1827</v>
      </c>
      <c r="J246" s="1">
        <v>2610</v>
      </c>
      <c r="K246" s="1">
        <v>1827</v>
      </c>
    </row>
    <row r="247" spans="1:11" x14ac:dyDescent="0.35">
      <c r="A247">
        <v>740116</v>
      </c>
      <c r="B247">
        <v>1999102</v>
      </c>
      <c r="C247" t="str">
        <f>"BUSHLAND INDEP SCHOOL DISTRICT"</f>
        <v>BUSHLAND INDEP SCHOOL DISTRICT</v>
      </c>
      <c r="D247" t="s">
        <v>11</v>
      </c>
      <c r="E247" t="s">
        <v>223</v>
      </c>
      <c r="F247" t="s">
        <v>224</v>
      </c>
      <c r="G247">
        <v>79012</v>
      </c>
      <c r="H247">
        <v>2010</v>
      </c>
      <c r="I247" s="1">
        <v>1352.75</v>
      </c>
      <c r="J247" s="1">
        <v>2878.2</v>
      </c>
      <c r="K247" s="1">
        <v>763.02</v>
      </c>
    </row>
    <row r="248" spans="1:11" x14ac:dyDescent="0.35">
      <c r="A248">
        <v>719945</v>
      </c>
      <c r="B248">
        <v>1954006</v>
      </c>
      <c r="C248" t="str">
        <f>"BYERS INDEP SCHOOL DISTRICT"</f>
        <v>BYERS INDEP SCHOOL DISTRICT</v>
      </c>
      <c r="D248" t="s">
        <v>11</v>
      </c>
      <c r="E248" t="s">
        <v>225</v>
      </c>
      <c r="F248" t="s">
        <v>226</v>
      </c>
      <c r="G248">
        <v>76357</v>
      </c>
      <c r="H248">
        <v>2010</v>
      </c>
      <c r="I248" s="1">
        <v>4263.84</v>
      </c>
      <c r="J248" s="1">
        <v>5329.8</v>
      </c>
      <c r="K248" s="1">
        <v>4263.84</v>
      </c>
    </row>
    <row r="249" spans="1:11" x14ac:dyDescent="0.35">
      <c r="A249">
        <v>751255</v>
      </c>
      <c r="B249">
        <v>2072258</v>
      </c>
      <c r="C249" t="str">
        <f>"BYNUM INDEP SCHOOL DISTRICT"</f>
        <v>BYNUM INDEP SCHOOL DISTRICT</v>
      </c>
      <c r="D249" t="s">
        <v>11</v>
      </c>
      <c r="E249" t="s">
        <v>227</v>
      </c>
      <c r="F249" t="s">
        <v>228</v>
      </c>
      <c r="G249">
        <v>76631</v>
      </c>
      <c r="H249">
        <v>2010</v>
      </c>
      <c r="I249" s="1">
        <v>696</v>
      </c>
      <c r="J249" s="1">
        <v>870</v>
      </c>
      <c r="K249" s="1">
        <v>696</v>
      </c>
    </row>
    <row r="250" spans="1:11" x14ac:dyDescent="0.35">
      <c r="A250">
        <v>751255</v>
      </c>
      <c r="B250">
        <v>2072307</v>
      </c>
      <c r="C250" t="str">
        <f>"BYNUM INDEP SCHOOL DISTRICT"</f>
        <v>BYNUM INDEP SCHOOL DISTRICT</v>
      </c>
      <c r="D250" t="s">
        <v>11</v>
      </c>
      <c r="E250" t="s">
        <v>227</v>
      </c>
      <c r="F250" t="s">
        <v>228</v>
      </c>
      <c r="G250">
        <v>76631</v>
      </c>
      <c r="H250">
        <v>2010</v>
      </c>
      <c r="I250" s="1">
        <v>16800</v>
      </c>
      <c r="J250" s="1">
        <v>21000</v>
      </c>
      <c r="K250" s="1">
        <v>16800</v>
      </c>
    </row>
    <row r="251" spans="1:11" x14ac:dyDescent="0.35">
      <c r="A251">
        <v>751255</v>
      </c>
      <c r="B251">
        <v>2072355</v>
      </c>
      <c r="C251" t="str">
        <f>"BYNUM INDEP SCHOOL DISTRICT"</f>
        <v>BYNUM INDEP SCHOOL DISTRICT</v>
      </c>
      <c r="D251" t="s">
        <v>11</v>
      </c>
      <c r="E251" t="s">
        <v>227</v>
      </c>
      <c r="F251" t="s">
        <v>228</v>
      </c>
      <c r="G251">
        <v>76631</v>
      </c>
      <c r="H251">
        <v>2010</v>
      </c>
      <c r="I251" s="1">
        <v>510</v>
      </c>
      <c r="J251" s="1">
        <v>637.5</v>
      </c>
      <c r="K251" s="1">
        <v>484.8</v>
      </c>
    </row>
    <row r="252" spans="1:11" x14ac:dyDescent="0.35">
      <c r="A252">
        <v>713140</v>
      </c>
      <c r="B252">
        <v>1958793</v>
      </c>
      <c r="C252" t="str">
        <f>"Boys Ranch Independent School District"</f>
        <v>Boys Ranch Independent School District</v>
      </c>
      <c r="D252" t="s">
        <v>11</v>
      </c>
      <c r="E252" t="s">
        <v>229</v>
      </c>
      <c r="F252" t="s">
        <v>230</v>
      </c>
      <c r="G252">
        <v>79010</v>
      </c>
      <c r="H252">
        <v>2010</v>
      </c>
      <c r="I252" s="1">
        <v>8097.6</v>
      </c>
      <c r="J252" s="1">
        <v>9640</v>
      </c>
      <c r="K252" s="1">
        <v>8097.6</v>
      </c>
    </row>
    <row r="253" spans="1:11" x14ac:dyDescent="0.35">
      <c r="A253">
        <v>713140</v>
      </c>
      <c r="B253">
        <v>1958800</v>
      </c>
      <c r="C253" t="str">
        <f>"Boys Ranch Independent School District"</f>
        <v>Boys Ranch Independent School District</v>
      </c>
      <c r="D253" t="s">
        <v>11</v>
      </c>
      <c r="E253" t="s">
        <v>229</v>
      </c>
      <c r="F253" t="s">
        <v>230</v>
      </c>
      <c r="G253">
        <v>79010</v>
      </c>
      <c r="H253">
        <v>2010</v>
      </c>
      <c r="I253" s="1">
        <v>36227.519999999997</v>
      </c>
      <c r="J253" s="1">
        <v>43128</v>
      </c>
      <c r="K253" s="1">
        <v>36227.519999999997</v>
      </c>
    </row>
    <row r="254" spans="1:11" x14ac:dyDescent="0.35">
      <c r="A254">
        <v>713140</v>
      </c>
      <c r="B254">
        <v>1958807</v>
      </c>
      <c r="C254" t="str">
        <f>"Boys Ranch Independent School District"</f>
        <v>Boys Ranch Independent School District</v>
      </c>
      <c r="D254" t="s">
        <v>11</v>
      </c>
      <c r="E254" t="s">
        <v>229</v>
      </c>
      <c r="F254" t="s">
        <v>230</v>
      </c>
      <c r="G254">
        <v>79010</v>
      </c>
      <c r="H254">
        <v>2010</v>
      </c>
      <c r="I254" s="1">
        <v>3108</v>
      </c>
      <c r="J254" s="1">
        <v>3700</v>
      </c>
      <c r="K254" s="1">
        <v>3108</v>
      </c>
    </row>
    <row r="255" spans="1:11" x14ac:dyDescent="0.35">
      <c r="A255">
        <v>733775</v>
      </c>
      <c r="B255">
        <v>1984125</v>
      </c>
      <c r="C255" t="str">
        <f>"CALALLEN INDEP SCHOOL DISTRICT"</f>
        <v>CALALLEN INDEP SCHOOL DISTRICT</v>
      </c>
      <c r="D255" t="s">
        <v>11</v>
      </c>
      <c r="E255" t="s">
        <v>231</v>
      </c>
      <c r="F255" t="s">
        <v>232</v>
      </c>
      <c r="G255">
        <v>78410</v>
      </c>
      <c r="H255">
        <v>2010</v>
      </c>
      <c r="I255" s="1">
        <v>8589.6</v>
      </c>
      <c r="J255" s="1">
        <v>14316</v>
      </c>
      <c r="K255" s="1">
        <v>8589.6</v>
      </c>
    </row>
    <row r="256" spans="1:11" x14ac:dyDescent="0.35">
      <c r="A256">
        <v>736462</v>
      </c>
      <c r="B256">
        <v>1989926</v>
      </c>
      <c r="C256" t="str">
        <f>"CALDWELL INDEP SCHOOL DISTRICT"</f>
        <v>CALDWELL INDEP SCHOOL DISTRICT</v>
      </c>
      <c r="D256" t="s">
        <v>11</v>
      </c>
      <c r="E256" t="s">
        <v>233</v>
      </c>
      <c r="F256" t="s">
        <v>234</v>
      </c>
      <c r="G256">
        <v>77836</v>
      </c>
      <c r="H256">
        <v>2010</v>
      </c>
      <c r="I256" s="1">
        <v>3646.19</v>
      </c>
      <c r="J256" s="1">
        <v>5064.1499999999996</v>
      </c>
      <c r="K256" s="1">
        <v>3646.19</v>
      </c>
    </row>
    <row r="257" spans="1:11" x14ac:dyDescent="0.35">
      <c r="A257">
        <v>736410</v>
      </c>
      <c r="B257">
        <v>1989854</v>
      </c>
      <c r="C257" t="str">
        <f>"CALDWELL INDEP SCHOOL DISTRICT"</f>
        <v>CALDWELL INDEP SCHOOL DISTRICT</v>
      </c>
      <c r="D257" t="s">
        <v>11</v>
      </c>
      <c r="E257" t="s">
        <v>233</v>
      </c>
      <c r="F257" t="s">
        <v>234</v>
      </c>
      <c r="G257">
        <v>77836</v>
      </c>
      <c r="H257">
        <v>2010</v>
      </c>
      <c r="I257" s="1">
        <v>17343.36</v>
      </c>
      <c r="J257" s="1">
        <v>24088</v>
      </c>
      <c r="K257" s="1">
        <v>17343.36</v>
      </c>
    </row>
    <row r="258" spans="1:11" x14ac:dyDescent="0.35">
      <c r="A258">
        <v>736200</v>
      </c>
      <c r="B258">
        <v>1989397</v>
      </c>
      <c r="C258" t="str">
        <f>"CALDWELL INDEP SCHOOL DISTRICT"</f>
        <v>CALDWELL INDEP SCHOOL DISTRICT</v>
      </c>
      <c r="D258" t="s">
        <v>11</v>
      </c>
      <c r="E258" t="s">
        <v>233</v>
      </c>
      <c r="F258" t="s">
        <v>234</v>
      </c>
      <c r="G258">
        <v>77836</v>
      </c>
      <c r="H258">
        <v>2010</v>
      </c>
      <c r="I258" s="1">
        <v>6739.45</v>
      </c>
      <c r="J258" s="1">
        <v>9360.35</v>
      </c>
      <c r="K258" s="1">
        <v>6739.45</v>
      </c>
    </row>
    <row r="259" spans="1:11" x14ac:dyDescent="0.35">
      <c r="A259">
        <v>724118</v>
      </c>
      <c r="B259">
        <v>1985541</v>
      </c>
      <c r="C259" t="str">
        <f>"CALHOUN COUNTY INDEPENDENT S D"</f>
        <v>CALHOUN COUNTY INDEPENDENT S D</v>
      </c>
      <c r="D259" t="s">
        <v>11</v>
      </c>
      <c r="E259" t="s">
        <v>235</v>
      </c>
      <c r="F259" t="s">
        <v>236</v>
      </c>
      <c r="G259">
        <v>77979</v>
      </c>
      <c r="H259">
        <v>2010</v>
      </c>
      <c r="I259" s="1">
        <v>9750</v>
      </c>
      <c r="J259" s="1">
        <v>12500</v>
      </c>
      <c r="K259" s="1">
        <v>9750</v>
      </c>
    </row>
    <row r="260" spans="1:11" x14ac:dyDescent="0.35">
      <c r="A260">
        <v>724118</v>
      </c>
      <c r="B260">
        <v>1986917</v>
      </c>
      <c r="C260" t="str">
        <f>"CALHOUN COUNTY INDEPENDENT S D"</f>
        <v>CALHOUN COUNTY INDEPENDENT S D</v>
      </c>
      <c r="D260" t="s">
        <v>11</v>
      </c>
      <c r="E260" t="s">
        <v>235</v>
      </c>
      <c r="F260" t="s">
        <v>236</v>
      </c>
      <c r="G260">
        <v>77979</v>
      </c>
      <c r="H260">
        <v>2010</v>
      </c>
      <c r="I260" s="1">
        <v>7020</v>
      </c>
      <c r="J260" s="1">
        <v>9000</v>
      </c>
      <c r="K260" s="1">
        <v>6396</v>
      </c>
    </row>
    <row r="261" spans="1:11" x14ac:dyDescent="0.35">
      <c r="A261">
        <v>724118</v>
      </c>
      <c r="B261">
        <v>1965993</v>
      </c>
      <c r="C261" t="str">
        <f>"CALHOUN COUNTY INDEPENDENT S D"</f>
        <v>CALHOUN COUNTY INDEPENDENT S D</v>
      </c>
      <c r="D261" t="s">
        <v>11</v>
      </c>
      <c r="E261" t="s">
        <v>235</v>
      </c>
      <c r="F261" t="s">
        <v>236</v>
      </c>
      <c r="G261">
        <v>77979</v>
      </c>
      <c r="H261">
        <v>2010</v>
      </c>
      <c r="I261" s="1">
        <v>65520</v>
      </c>
      <c r="J261" s="1">
        <v>84000</v>
      </c>
      <c r="K261" s="1">
        <v>65520</v>
      </c>
    </row>
    <row r="262" spans="1:11" x14ac:dyDescent="0.35">
      <c r="A262">
        <v>721400</v>
      </c>
      <c r="B262">
        <v>1956815</v>
      </c>
      <c r="C262" t="str">
        <f>"CALLISBURG INDEP SCHOOL DIST"</f>
        <v>CALLISBURG INDEP SCHOOL DIST</v>
      </c>
      <c r="D262" t="s">
        <v>11</v>
      </c>
      <c r="E262" t="s">
        <v>237</v>
      </c>
      <c r="F262" t="s">
        <v>238</v>
      </c>
      <c r="G262">
        <v>76240</v>
      </c>
      <c r="H262">
        <v>2010</v>
      </c>
      <c r="I262" s="1">
        <v>24181.919999999998</v>
      </c>
      <c r="J262" s="1">
        <v>28788</v>
      </c>
      <c r="K262" s="1">
        <v>24181.919999999998</v>
      </c>
    </row>
    <row r="263" spans="1:11" x14ac:dyDescent="0.35">
      <c r="A263">
        <v>721400</v>
      </c>
      <c r="B263">
        <v>1968502</v>
      </c>
      <c r="C263" t="str">
        <f>"CALLISBURG INDEP SCHOOL DIST"</f>
        <v>CALLISBURG INDEP SCHOOL DIST</v>
      </c>
      <c r="D263" t="s">
        <v>11</v>
      </c>
      <c r="E263" t="s">
        <v>237</v>
      </c>
      <c r="F263" t="s">
        <v>238</v>
      </c>
      <c r="G263">
        <v>76240</v>
      </c>
      <c r="H263">
        <v>2010</v>
      </c>
      <c r="I263" s="1">
        <v>5029.92</v>
      </c>
      <c r="J263" s="1">
        <v>5988</v>
      </c>
    </row>
    <row r="264" spans="1:11" x14ac:dyDescent="0.35">
      <c r="A264">
        <v>721400</v>
      </c>
      <c r="B264">
        <v>1956753</v>
      </c>
      <c r="C264" t="str">
        <f>"CALLISBURG INDEP SCHOOL DIST"</f>
        <v>CALLISBURG INDEP SCHOOL DIST</v>
      </c>
      <c r="D264" t="s">
        <v>11</v>
      </c>
      <c r="E264" t="s">
        <v>237</v>
      </c>
      <c r="F264" t="s">
        <v>238</v>
      </c>
      <c r="G264">
        <v>76240</v>
      </c>
      <c r="H264">
        <v>2010</v>
      </c>
      <c r="I264" s="1">
        <v>1680</v>
      </c>
      <c r="J264" s="1">
        <v>2000</v>
      </c>
      <c r="K264" s="1">
        <v>1680</v>
      </c>
    </row>
    <row r="265" spans="1:11" x14ac:dyDescent="0.35">
      <c r="A265">
        <v>721400</v>
      </c>
      <c r="B265">
        <v>1956758</v>
      </c>
      <c r="C265" t="str">
        <f>"CALLISBURG INDEP SCHOOL DIST"</f>
        <v>CALLISBURG INDEP SCHOOL DIST</v>
      </c>
      <c r="D265" t="s">
        <v>11</v>
      </c>
      <c r="E265" t="s">
        <v>237</v>
      </c>
      <c r="F265" t="s">
        <v>238</v>
      </c>
      <c r="G265">
        <v>76240</v>
      </c>
      <c r="H265">
        <v>2010</v>
      </c>
      <c r="I265" s="1">
        <v>2746.8</v>
      </c>
      <c r="J265" s="1">
        <v>3270</v>
      </c>
      <c r="K265" s="1">
        <v>2746.8</v>
      </c>
    </row>
    <row r="266" spans="1:11" x14ac:dyDescent="0.35">
      <c r="A266">
        <v>721400</v>
      </c>
      <c r="B266">
        <v>1956809</v>
      </c>
      <c r="C266" t="str">
        <f>"CALLISBURG INDEP SCHOOL DIST"</f>
        <v>CALLISBURG INDEP SCHOOL DIST</v>
      </c>
      <c r="D266" t="s">
        <v>11</v>
      </c>
      <c r="E266" t="s">
        <v>237</v>
      </c>
      <c r="F266" t="s">
        <v>238</v>
      </c>
      <c r="G266">
        <v>76240</v>
      </c>
      <c r="H266">
        <v>2010</v>
      </c>
      <c r="I266" s="1">
        <v>907.2</v>
      </c>
      <c r="J266" s="1">
        <v>1080</v>
      </c>
    </row>
    <row r="267" spans="1:11" x14ac:dyDescent="0.35">
      <c r="A267">
        <v>751300</v>
      </c>
      <c r="B267">
        <v>2042462</v>
      </c>
      <c r="C267" t="str">
        <f>"CALVERT INDEP SCHOOL DISTRICT"</f>
        <v>CALVERT INDEP SCHOOL DISTRICT</v>
      </c>
      <c r="D267" t="s">
        <v>11</v>
      </c>
      <c r="E267" t="s">
        <v>239</v>
      </c>
      <c r="F267" t="s">
        <v>240</v>
      </c>
      <c r="G267">
        <v>77837</v>
      </c>
      <c r="H267">
        <v>2010</v>
      </c>
      <c r="I267" s="1">
        <v>26784</v>
      </c>
      <c r="J267" s="1">
        <v>29760</v>
      </c>
      <c r="K267" s="1">
        <v>22890.92</v>
      </c>
    </row>
    <row r="268" spans="1:11" x14ac:dyDescent="0.35">
      <c r="A268">
        <v>729086</v>
      </c>
      <c r="B268">
        <v>1972637</v>
      </c>
      <c r="C268" t="str">
        <f>"CALVIN NELMS CHARTER SCHOOL"</f>
        <v>CALVIN NELMS CHARTER SCHOOL</v>
      </c>
      <c r="D268" t="s">
        <v>11</v>
      </c>
      <c r="E268" t="s">
        <v>241</v>
      </c>
      <c r="F268" t="s">
        <v>242</v>
      </c>
      <c r="G268">
        <v>77449</v>
      </c>
      <c r="H268">
        <v>2010</v>
      </c>
      <c r="I268" s="1">
        <v>1140</v>
      </c>
      <c r="J268" s="1">
        <v>1900</v>
      </c>
    </row>
    <row r="269" spans="1:11" x14ac:dyDescent="0.35">
      <c r="A269">
        <v>729086</v>
      </c>
      <c r="B269">
        <v>1972614</v>
      </c>
      <c r="C269" t="str">
        <f>"CALVIN NELMS CHARTER SCHOOL"</f>
        <v>CALVIN NELMS CHARTER SCHOOL</v>
      </c>
      <c r="D269" t="s">
        <v>11</v>
      </c>
      <c r="E269" t="s">
        <v>241</v>
      </c>
      <c r="F269" t="s">
        <v>242</v>
      </c>
      <c r="G269">
        <v>77449</v>
      </c>
      <c r="H269">
        <v>2010</v>
      </c>
      <c r="I269" s="1">
        <v>935.28</v>
      </c>
      <c r="J269" s="1">
        <v>1558.8</v>
      </c>
    </row>
    <row r="270" spans="1:11" x14ac:dyDescent="0.35">
      <c r="A270">
        <v>765171</v>
      </c>
      <c r="B270">
        <v>2067772</v>
      </c>
      <c r="C270" t="str">
        <f>"CAMERON INDEP SCHOOL DISTRICT"</f>
        <v>CAMERON INDEP SCHOOL DISTRICT</v>
      </c>
      <c r="D270" t="s">
        <v>11</v>
      </c>
      <c r="E270" t="s">
        <v>243</v>
      </c>
      <c r="F270" t="s">
        <v>244</v>
      </c>
      <c r="G270">
        <v>76520</v>
      </c>
      <c r="H270">
        <v>2010</v>
      </c>
      <c r="I270" s="1">
        <v>15537.6</v>
      </c>
      <c r="J270" s="1">
        <v>18720</v>
      </c>
      <c r="K270" s="1">
        <v>14940</v>
      </c>
    </row>
    <row r="271" spans="1:11" x14ac:dyDescent="0.35">
      <c r="A271">
        <v>751713</v>
      </c>
      <c r="B271">
        <v>2067149</v>
      </c>
      <c r="C271" t="str">
        <f>"CAMERON INDEP SCHOOL DISTRICT"</f>
        <v>CAMERON INDEP SCHOOL DISTRICT</v>
      </c>
      <c r="D271" t="s">
        <v>11</v>
      </c>
      <c r="E271" t="s">
        <v>243</v>
      </c>
      <c r="F271" t="s">
        <v>244</v>
      </c>
      <c r="G271">
        <v>76520</v>
      </c>
      <c r="H271">
        <v>2010</v>
      </c>
      <c r="I271" s="1">
        <v>9958.01</v>
      </c>
      <c r="J271" s="1">
        <v>11997.6</v>
      </c>
      <c r="K271" s="1">
        <v>856.8</v>
      </c>
    </row>
    <row r="272" spans="1:11" x14ac:dyDescent="0.35">
      <c r="A272">
        <v>765171</v>
      </c>
      <c r="B272">
        <v>2068005</v>
      </c>
      <c r="C272" t="str">
        <f>"CAMERON INDEP SCHOOL DISTRICT"</f>
        <v>CAMERON INDEP SCHOOL DISTRICT</v>
      </c>
      <c r="D272" t="s">
        <v>11</v>
      </c>
      <c r="E272" t="s">
        <v>243</v>
      </c>
      <c r="F272" t="s">
        <v>244</v>
      </c>
      <c r="G272">
        <v>76520</v>
      </c>
      <c r="H272">
        <v>2010</v>
      </c>
      <c r="I272" s="1">
        <v>3249.45</v>
      </c>
      <c r="J272" s="1">
        <v>3915</v>
      </c>
    </row>
    <row r="273" spans="1:11" x14ac:dyDescent="0.35">
      <c r="A273">
        <v>733075</v>
      </c>
      <c r="B273">
        <v>1982220</v>
      </c>
      <c r="C273" t="str">
        <f>"CANADIAN INDEP SCHOOL DISTRICT"</f>
        <v>CANADIAN INDEP SCHOOL DISTRICT</v>
      </c>
      <c r="D273" t="s">
        <v>11</v>
      </c>
      <c r="E273" t="s">
        <v>245</v>
      </c>
      <c r="F273" t="s">
        <v>246</v>
      </c>
      <c r="G273">
        <v>79014</v>
      </c>
      <c r="H273">
        <v>2010</v>
      </c>
      <c r="I273" s="1">
        <v>10063.969999999999</v>
      </c>
      <c r="J273" s="1">
        <v>14799.96</v>
      </c>
      <c r="K273" s="1">
        <v>10063.969999999999</v>
      </c>
    </row>
    <row r="274" spans="1:11" x14ac:dyDescent="0.35">
      <c r="A274">
        <v>732198</v>
      </c>
      <c r="B274">
        <v>1980439</v>
      </c>
      <c r="C274" t="str">
        <f>"CANADIAN INDEP SCHOOL DISTRICT"</f>
        <v>CANADIAN INDEP SCHOOL DISTRICT</v>
      </c>
      <c r="D274" t="s">
        <v>11</v>
      </c>
      <c r="E274" t="s">
        <v>245</v>
      </c>
      <c r="F274" t="s">
        <v>246</v>
      </c>
      <c r="G274">
        <v>79014</v>
      </c>
      <c r="H274">
        <v>2010</v>
      </c>
      <c r="I274" s="1">
        <v>2484.7199999999998</v>
      </c>
      <c r="J274" s="1">
        <v>3654</v>
      </c>
      <c r="K274" s="1">
        <v>2484.7199999999998</v>
      </c>
    </row>
    <row r="275" spans="1:11" x14ac:dyDescent="0.35">
      <c r="A275">
        <v>732844</v>
      </c>
      <c r="B275">
        <v>1981767</v>
      </c>
      <c r="C275" t="str">
        <f>"CANADIAN INDEP SCHOOL DISTRICT"</f>
        <v>CANADIAN INDEP SCHOOL DISTRICT</v>
      </c>
      <c r="D275" t="s">
        <v>11</v>
      </c>
      <c r="E275" t="s">
        <v>245</v>
      </c>
      <c r="F275" t="s">
        <v>246</v>
      </c>
      <c r="G275">
        <v>79014</v>
      </c>
      <c r="H275">
        <v>2010</v>
      </c>
      <c r="I275" s="1">
        <v>635.75</v>
      </c>
      <c r="J275" s="1">
        <v>934.92</v>
      </c>
      <c r="K275" s="1">
        <v>635.75</v>
      </c>
    </row>
    <row r="276" spans="1:11" x14ac:dyDescent="0.35">
      <c r="A276">
        <v>733155</v>
      </c>
      <c r="B276">
        <v>1982446</v>
      </c>
      <c r="C276" t="str">
        <f>"CANADIAN INDEP SCHOOL DISTRICT"</f>
        <v>CANADIAN INDEP SCHOOL DISTRICT</v>
      </c>
      <c r="D276" t="s">
        <v>11</v>
      </c>
      <c r="E276" t="s">
        <v>245</v>
      </c>
      <c r="F276" t="s">
        <v>246</v>
      </c>
      <c r="G276">
        <v>79014</v>
      </c>
      <c r="H276">
        <v>2010</v>
      </c>
      <c r="I276" s="1">
        <v>19400.400000000001</v>
      </c>
      <c r="J276" s="1">
        <v>28530</v>
      </c>
    </row>
    <row r="277" spans="1:11" x14ac:dyDescent="0.35">
      <c r="A277">
        <v>746759</v>
      </c>
      <c r="B277">
        <v>2015901</v>
      </c>
      <c r="C277" t="str">
        <f>"CANADIAN INDEP SCHOOL DISTRICT"</f>
        <v>CANADIAN INDEP SCHOOL DISTRICT</v>
      </c>
      <c r="D277" t="s">
        <v>11</v>
      </c>
      <c r="E277" t="s">
        <v>245</v>
      </c>
      <c r="F277" t="s">
        <v>246</v>
      </c>
      <c r="G277">
        <v>79014</v>
      </c>
      <c r="H277">
        <v>2010</v>
      </c>
      <c r="I277" s="1">
        <v>12335.15</v>
      </c>
      <c r="J277" s="1">
        <v>18139.919999999998</v>
      </c>
      <c r="K277" s="1">
        <v>11995.2</v>
      </c>
    </row>
    <row r="278" spans="1:11" x14ac:dyDescent="0.35">
      <c r="A278">
        <v>768106</v>
      </c>
      <c r="B278">
        <v>2077997</v>
      </c>
      <c r="C278" t="str">
        <f>"CANYON INDEP SCHOOL DISTRICT"</f>
        <v>CANYON INDEP SCHOOL DISTRICT</v>
      </c>
      <c r="D278" t="s">
        <v>11</v>
      </c>
      <c r="E278" t="s">
        <v>247</v>
      </c>
      <c r="F278" t="s">
        <v>248</v>
      </c>
      <c r="G278">
        <v>79015</v>
      </c>
      <c r="H278">
        <v>2010</v>
      </c>
      <c r="I278" s="1">
        <v>15371.42</v>
      </c>
      <c r="J278" s="1">
        <v>30140.04</v>
      </c>
      <c r="K278" s="1">
        <v>15371.4</v>
      </c>
    </row>
    <row r="279" spans="1:11" x14ac:dyDescent="0.35">
      <c r="A279">
        <v>741111</v>
      </c>
      <c r="B279">
        <v>2003647</v>
      </c>
      <c r="C279" t="str">
        <f>"CARLISLE INDEP SCHOOL DISTRICT"</f>
        <v>CARLISLE INDEP SCHOOL DISTRICT</v>
      </c>
      <c r="D279" t="s">
        <v>11</v>
      </c>
      <c r="E279" t="s">
        <v>249</v>
      </c>
      <c r="F279" t="s">
        <v>250</v>
      </c>
      <c r="G279">
        <v>75687</v>
      </c>
      <c r="H279">
        <v>2010</v>
      </c>
      <c r="I279" s="1">
        <v>2043.46</v>
      </c>
      <c r="J279" s="1">
        <v>2554.3200000000002</v>
      </c>
      <c r="K279" s="1">
        <v>2043.46</v>
      </c>
    </row>
    <row r="280" spans="1:11" x14ac:dyDescent="0.35">
      <c r="A280">
        <v>741111</v>
      </c>
      <c r="B280">
        <v>2003405</v>
      </c>
      <c r="C280" t="str">
        <f>"CARLISLE INDEP SCHOOL DISTRICT"</f>
        <v>CARLISLE INDEP SCHOOL DISTRICT</v>
      </c>
      <c r="D280" t="s">
        <v>11</v>
      </c>
      <c r="E280" t="s">
        <v>249</v>
      </c>
      <c r="F280" t="s">
        <v>250</v>
      </c>
      <c r="G280">
        <v>75687</v>
      </c>
      <c r="H280">
        <v>2010</v>
      </c>
      <c r="I280" s="1">
        <v>2600</v>
      </c>
      <c r="J280" s="1">
        <v>3250</v>
      </c>
      <c r="K280" s="1">
        <v>2600</v>
      </c>
    </row>
    <row r="281" spans="1:11" x14ac:dyDescent="0.35">
      <c r="A281">
        <v>741111</v>
      </c>
      <c r="B281">
        <v>2003369</v>
      </c>
      <c r="C281" t="str">
        <f>"CARLISLE INDEP SCHOOL DISTRICT"</f>
        <v>CARLISLE INDEP SCHOOL DISTRICT</v>
      </c>
      <c r="D281" t="s">
        <v>11</v>
      </c>
      <c r="E281" t="s">
        <v>249</v>
      </c>
      <c r="F281" t="s">
        <v>250</v>
      </c>
      <c r="G281">
        <v>75687</v>
      </c>
      <c r="H281">
        <v>2010</v>
      </c>
      <c r="I281" s="1">
        <v>2212</v>
      </c>
      <c r="J281" s="1">
        <v>2765</v>
      </c>
      <c r="K281" s="1">
        <v>2212</v>
      </c>
    </row>
    <row r="282" spans="1:11" x14ac:dyDescent="0.35">
      <c r="A282">
        <v>741111</v>
      </c>
      <c r="B282">
        <v>2003677</v>
      </c>
      <c r="C282" t="str">
        <f>"CARLISLE INDEP SCHOOL DISTRICT"</f>
        <v>CARLISLE INDEP SCHOOL DISTRICT</v>
      </c>
      <c r="D282" t="s">
        <v>11</v>
      </c>
      <c r="E282" t="s">
        <v>249</v>
      </c>
      <c r="F282" t="s">
        <v>250</v>
      </c>
      <c r="G282">
        <v>75687</v>
      </c>
      <c r="H282">
        <v>2010</v>
      </c>
      <c r="I282" s="1">
        <v>5690.88</v>
      </c>
      <c r="J282" s="1">
        <v>7113.6</v>
      </c>
      <c r="K282" s="1">
        <v>5690.88</v>
      </c>
    </row>
    <row r="283" spans="1:11" x14ac:dyDescent="0.35">
      <c r="A283">
        <v>743949</v>
      </c>
      <c r="B283">
        <v>2008462</v>
      </c>
      <c r="C283" t="str">
        <f>"CARRIZO SPGS CONS IND SCH DIST"</f>
        <v>CARRIZO SPGS CONS IND SCH DIST</v>
      </c>
      <c r="D283" t="s">
        <v>11</v>
      </c>
      <c r="E283" t="s">
        <v>251</v>
      </c>
      <c r="F283" t="s">
        <v>252</v>
      </c>
      <c r="G283">
        <v>78834</v>
      </c>
      <c r="H283">
        <v>2010</v>
      </c>
      <c r="I283" s="1">
        <v>0</v>
      </c>
      <c r="J283" s="1">
        <v>0</v>
      </c>
    </row>
    <row r="284" spans="1:11" x14ac:dyDescent="0.35">
      <c r="A284">
        <v>748169</v>
      </c>
      <c r="B284">
        <v>2050505</v>
      </c>
      <c r="C284" t="str">
        <f>"CARRIZO SPGS CONS IND SCH DIST"</f>
        <v>CARRIZO SPGS CONS IND SCH DIST</v>
      </c>
      <c r="D284" t="s">
        <v>11</v>
      </c>
      <c r="E284" t="s">
        <v>251</v>
      </c>
      <c r="F284" t="s">
        <v>252</v>
      </c>
      <c r="G284">
        <v>78834</v>
      </c>
      <c r="H284">
        <v>2010</v>
      </c>
      <c r="I284" s="1">
        <v>47752.7</v>
      </c>
      <c r="J284" s="1">
        <v>55526.400000000001</v>
      </c>
      <c r="K284" s="1">
        <v>35161.53</v>
      </c>
    </row>
    <row r="285" spans="1:11" x14ac:dyDescent="0.35">
      <c r="A285">
        <v>713298</v>
      </c>
      <c r="B285">
        <v>1969568</v>
      </c>
      <c r="C285" t="str">
        <f>"CARROLL INDEP SCHOOL DISTRICT"</f>
        <v>CARROLL INDEP SCHOOL DISTRICT</v>
      </c>
      <c r="D285" t="s">
        <v>11</v>
      </c>
      <c r="E285" t="s">
        <v>253</v>
      </c>
      <c r="F285" t="s">
        <v>254</v>
      </c>
      <c r="G285">
        <v>76051</v>
      </c>
      <c r="H285">
        <v>2010</v>
      </c>
      <c r="I285" s="1">
        <v>12363.92</v>
      </c>
      <c r="J285" s="1">
        <v>33416</v>
      </c>
      <c r="K285" s="1">
        <v>11623.92</v>
      </c>
    </row>
    <row r="286" spans="1:11" x14ac:dyDescent="0.35">
      <c r="A286">
        <v>727473</v>
      </c>
      <c r="B286">
        <v>2008335</v>
      </c>
      <c r="C286" t="str">
        <f t="shared" ref="C286:C291" si="5">"CARROLLTON-FARMERS BR SCH DIST"</f>
        <v>CARROLLTON-FARMERS BR SCH DIST</v>
      </c>
      <c r="D286" t="s">
        <v>11</v>
      </c>
      <c r="E286" t="s">
        <v>255</v>
      </c>
      <c r="F286" t="s">
        <v>256</v>
      </c>
      <c r="G286">
        <v>75006</v>
      </c>
      <c r="H286">
        <v>2010</v>
      </c>
      <c r="I286" s="1">
        <v>10249</v>
      </c>
      <c r="J286" s="1">
        <v>13850</v>
      </c>
      <c r="K286" s="1">
        <v>8920.58</v>
      </c>
    </row>
    <row r="287" spans="1:11" x14ac:dyDescent="0.35">
      <c r="A287">
        <v>727473</v>
      </c>
      <c r="B287">
        <v>2026907</v>
      </c>
      <c r="C287" t="str">
        <f t="shared" si="5"/>
        <v>CARROLLTON-FARMERS BR SCH DIST</v>
      </c>
      <c r="D287" t="s">
        <v>11</v>
      </c>
      <c r="E287" t="s">
        <v>255</v>
      </c>
      <c r="F287" t="s">
        <v>256</v>
      </c>
      <c r="G287">
        <v>75006</v>
      </c>
      <c r="H287">
        <v>2010</v>
      </c>
      <c r="I287" s="1">
        <v>25825.41</v>
      </c>
      <c r="J287" s="1">
        <v>34899.199999999997</v>
      </c>
      <c r="K287" s="1">
        <v>25825.41</v>
      </c>
    </row>
    <row r="288" spans="1:11" x14ac:dyDescent="0.35">
      <c r="A288">
        <v>727473</v>
      </c>
      <c r="B288">
        <v>2008258</v>
      </c>
      <c r="C288" t="str">
        <f t="shared" si="5"/>
        <v>CARROLLTON-FARMERS BR SCH DIST</v>
      </c>
      <c r="D288" t="s">
        <v>11</v>
      </c>
      <c r="E288" t="s">
        <v>255</v>
      </c>
      <c r="F288" t="s">
        <v>256</v>
      </c>
      <c r="G288">
        <v>75006</v>
      </c>
      <c r="H288">
        <v>2010</v>
      </c>
      <c r="I288" s="1">
        <v>15984</v>
      </c>
      <c r="J288" s="1">
        <v>21600</v>
      </c>
      <c r="K288" s="1">
        <v>15984</v>
      </c>
    </row>
    <row r="289" spans="1:11" x14ac:dyDescent="0.35">
      <c r="A289">
        <v>727473</v>
      </c>
      <c r="B289">
        <v>1986714</v>
      </c>
      <c r="C289" t="str">
        <f t="shared" si="5"/>
        <v>CARROLLTON-FARMERS BR SCH DIST</v>
      </c>
      <c r="D289" t="s">
        <v>11</v>
      </c>
      <c r="E289" t="s">
        <v>255</v>
      </c>
      <c r="F289" t="s">
        <v>256</v>
      </c>
      <c r="G289">
        <v>75006</v>
      </c>
      <c r="H289">
        <v>2010</v>
      </c>
      <c r="I289" s="1">
        <v>4129.1099999999997</v>
      </c>
      <c r="J289" s="1">
        <v>5579.88</v>
      </c>
      <c r="K289" s="1">
        <v>4129.08</v>
      </c>
    </row>
    <row r="290" spans="1:11" x14ac:dyDescent="0.35">
      <c r="A290">
        <v>727473</v>
      </c>
      <c r="B290">
        <v>1986670</v>
      </c>
      <c r="C290" t="str">
        <f t="shared" si="5"/>
        <v>CARROLLTON-FARMERS BR SCH DIST</v>
      </c>
      <c r="D290" t="s">
        <v>11</v>
      </c>
      <c r="E290" t="s">
        <v>255</v>
      </c>
      <c r="F290" t="s">
        <v>256</v>
      </c>
      <c r="G290">
        <v>75006</v>
      </c>
      <c r="H290">
        <v>2010</v>
      </c>
      <c r="I290" s="1">
        <v>23088</v>
      </c>
      <c r="J290" s="1">
        <v>31200</v>
      </c>
      <c r="K290" s="1">
        <v>23088</v>
      </c>
    </row>
    <row r="291" spans="1:11" x14ac:dyDescent="0.35">
      <c r="A291">
        <v>727473</v>
      </c>
      <c r="B291">
        <v>2239391</v>
      </c>
      <c r="C291" t="str">
        <f t="shared" si="5"/>
        <v>CARROLLTON-FARMERS BR SCH DIST</v>
      </c>
      <c r="D291" t="s">
        <v>11</v>
      </c>
      <c r="E291" t="s">
        <v>255</v>
      </c>
      <c r="F291" t="s">
        <v>256</v>
      </c>
      <c r="G291">
        <v>75006</v>
      </c>
      <c r="H291">
        <v>2010</v>
      </c>
      <c r="I291" s="1">
        <v>8920.49</v>
      </c>
      <c r="J291" s="1">
        <v>12054.72</v>
      </c>
      <c r="K291" s="1">
        <v>8920.49</v>
      </c>
    </row>
    <row r="292" spans="1:11" x14ac:dyDescent="0.35">
      <c r="A292">
        <v>730764</v>
      </c>
      <c r="B292">
        <v>1976457</v>
      </c>
      <c r="C292" t="str">
        <f>"CARTHAGE INDEP SCHOOL DISTRICT"</f>
        <v>CARTHAGE INDEP SCHOOL DISTRICT</v>
      </c>
      <c r="D292" t="s">
        <v>11</v>
      </c>
      <c r="E292" t="s">
        <v>257</v>
      </c>
      <c r="F292" t="s">
        <v>258</v>
      </c>
      <c r="G292">
        <v>75633</v>
      </c>
      <c r="H292">
        <v>2010</v>
      </c>
      <c r="I292" s="1">
        <v>9735.8700000000008</v>
      </c>
      <c r="J292" s="1">
        <v>14109.96</v>
      </c>
      <c r="K292" s="1">
        <v>9735.8700000000008</v>
      </c>
    </row>
    <row r="293" spans="1:11" x14ac:dyDescent="0.35">
      <c r="A293">
        <v>731915</v>
      </c>
      <c r="B293">
        <v>1979470</v>
      </c>
      <c r="C293" t="str">
        <f>"CARTHAGE INDEP SCHOOL DISTRICT"</f>
        <v>CARTHAGE INDEP SCHOOL DISTRICT</v>
      </c>
      <c r="D293" t="s">
        <v>11</v>
      </c>
      <c r="E293" t="s">
        <v>257</v>
      </c>
      <c r="F293" t="s">
        <v>258</v>
      </c>
      <c r="G293">
        <v>75633</v>
      </c>
      <c r="H293">
        <v>2010</v>
      </c>
      <c r="I293" s="1">
        <v>6210</v>
      </c>
      <c r="J293" s="1">
        <v>9000</v>
      </c>
      <c r="K293" s="1">
        <v>6210</v>
      </c>
    </row>
    <row r="294" spans="1:11" x14ac:dyDescent="0.35">
      <c r="A294">
        <v>756274</v>
      </c>
      <c r="B294">
        <v>2044082</v>
      </c>
      <c r="C294" t="str">
        <f>"CARVER ACADEMY SCHOOL"</f>
        <v>CARVER ACADEMY SCHOOL</v>
      </c>
      <c r="D294" t="s">
        <v>11</v>
      </c>
      <c r="E294" t="s">
        <v>259</v>
      </c>
      <c r="F294" t="s">
        <v>260</v>
      </c>
      <c r="G294">
        <v>75670</v>
      </c>
      <c r="H294">
        <v>2010</v>
      </c>
      <c r="I294" s="1">
        <v>0</v>
      </c>
      <c r="J294" s="1">
        <v>0</v>
      </c>
    </row>
    <row r="295" spans="1:11" x14ac:dyDescent="0.35">
      <c r="A295">
        <v>756274</v>
      </c>
      <c r="B295">
        <v>2044065</v>
      </c>
      <c r="C295" t="str">
        <f>"CARVER ACADEMY SCHOOL"</f>
        <v>CARVER ACADEMY SCHOOL</v>
      </c>
      <c r="D295" t="s">
        <v>11</v>
      </c>
      <c r="E295" t="s">
        <v>259</v>
      </c>
      <c r="F295" t="s">
        <v>260</v>
      </c>
      <c r="G295">
        <v>75670</v>
      </c>
      <c r="H295">
        <v>2010</v>
      </c>
      <c r="I295" s="1">
        <v>0</v>
      </c>
      <c r="J295" s="1">
        <v>0</v>
      </c>
    </row>
    <row r="296" spans="1:11" x14ac:dyDescent="0.35">
      <c r="A296">
        <v>739776</v>
      </c>
      <c r="B296">
        <v>1998125</v>
      </c>
      <c r="C296" t="str">
        <f>"CASTLEBERRY INDEP SCH DISTRICT"</f>
        <v>CASTLEBERRY INDEP SCH DISTRICT</v>
      </c>
      <c r="D296" t="s">
        <v>11</v>
      </c>
      <c r="E296" t="s">
        <v>261</v>
      </c>
      <c r="F296" t="s">
        <v>262</v>
      </c>
      <c r="G296">
        <v>76114</v>
      </c>
      <c r="H296">
        <v>2010</v>
      </c>
      <c r="I296" s="1">
        <v>5976</v>
      </c>
      <c r="J296" s="1">
        <v>7200</v>
      </c>
      <c r="K296" s="1">
        <v>5976</v>
      </c>
    </row>
    <row r="297" spans="1:11" x14ac:dyDescent="0.35">
      <c r="A297">
        <v>739776</v>
      </c>
      <c r="B297">
        <v>2014730</v>
      </c>
      <c r="C297" t="str">
        <f>"CASTLEBERRY INDEP SCH DISTRICT"</f>
        <v>CASTLEBERRY INDEP SCH DISTRICT</v>
      </c>
      <c r="D297" t="s">
        <v>11</v>
      </c>
      <c r="E297" t="s">
        <v>261</v>
      </c>
      <c r="F297" t="s">
        <v>262</v>
      </c>
      <c r="G297">
        <v>76114</v>
      </c>
      <c r="H297">
        <v>2010</v>
      </c>
      <c r="I297" s="1">
        <v>1659.05</v>
      </c>
      <c r="J297" s="1">
        <v>1998.85</v>
      </c>
      <c r="K297" s="1">
        <v>1659.05</v>
      </c>
    </row>
    <row r="298" spans="1:11" x14ac:dyDescent="0.35">
      <c r="A298">
        <v>739776</v>
      </c>
      <c r="B298">
        <v>2013281</v>
      </c>
      <c r="C298" t="str">
        <f>"CASTLEBERRY INDEP SCH DISTRICT"</f>
        <v>CASTLEBERRY INDEP SCH DISTRICT</v>
      </c>
      <c r="D298" t="s">
        <v>11</v>
      </c>
      <c r="E298" t="s">
        <v>261</v>
      </c>
      <c r="F298" t="s">
        <v>262</v>
      </c>
      <c r="G298">
        <v>76114</v>
      </c>
      <c r="H298">
        <v>2010</v>
      </c>
      <c r="I298" s="1">
        <v>2490</v>
      </c>
      <c r="J298" s="1">
        <v>3000</v>
      </c>
      <c r="K298" s="1">
        <v>2490</v>
      </c>
    </row>
    <row r="299" spans="1:11" x14ac:dyDescent="0.35">
      <c r="A299">
        <v>739776</v>
      </c>
      <c r="B299">
        <v>2013323</v>
      </c>
      <c r="C299" t="str">
        <f>"CASTLEBERRY INDEP SCH DISTRICT"</f>
        <v>CASTLEBERRY INDEP SCH DISTRICT</v>
      </c>
      <c r="D299" t="s">
        <v>11</v>
      </c>
      <c r="E299" t="s">
        <v>261</v>
      </c>
      <c r="F299" t="s">
        <v>262</v>
      </c>
      <c r="G299">
        <v>76114</v>
      </c>
      <c r="H299">
        <v>2010</v>
      </c>
      <c r="I299" s="1">
        <v>4693.6499999999996</v>
      </c>
      <c r="J299" s="1">
        <v>5655</v>
      </c>
      <c r="K299" s="1">
        <v>4693.58</v>
      </c>
    </row>
    <row r="300" spans="1:11" x14ac:dyDescent="0.35">
      <c r="A300">
        <v>747410</v>
      </c>
      <c r="B300">
        <v>2018922</v>
      </c>
      <c r="C300" t="str">
        <f>"CAYUGA INDEP SCHOOL DISTRICT"</f>
        <v>CAYUGA INDEP SCHOOL DISTRICT</v>
      </c>
      <c r="D300" t="s">
        <v>11</v>
      </c>
      <c r="E300" t="s">
        <v>263</v>
      </c>
      <c r="F300" t="s">
        <v>264</v>
      </c>
      <c r="G300">
        <v>75832</v>
      </c>
      <c r="H300">
        <v>2010</v>
      </c>
      <c r="I300" s="1">
        <v>2340</v>
      </c>
      <c r="J300" s="1">
        <v>3600</v>
      </c>
      <c r="K300" s="1">
        <v>2340</v>
      </c>
    </row>
    <row r="301" spans="1:11" x14ac:dyDescent="0.35">
      <c r="A301">
        <v>719350</v>
      </c>
      <c r="B301">
        <v>1953317</v>
      </c>
      <c r="C301" t="str">
        <f>"CEDAR HILL INDEP SCHOOL DIST"</f>
        <v>CEDAR HILL INDEP SCHOOL DIST</v>
      </c>
      <c r="D301" t="s">
        <v>11</v>
      </c>
      <c r="E301" t="s">
        <v>265</v>
      </c>
      <c r="F301" t="s">
        <v>266</v>
      </c>
      <c r="G301">
        <v>75104</v>
      </c>
      <c r="H301">
        <v>2010</v>
      </c>
      <c r="I301" s="1">
        <v>346.33</v>
      </c>
      <c r="J301" s="1">
        <v>494.76</v>
      </c>
      <c r="K301" s="1">
        <v>308.19</v>
      </c>
    </row>
    <row r="302" spans="1:11" x14ac:dyDescent="0.35">
      <c r="A302">
        <v>719350</v>
      </c>
      <c r="B302">
        <v>1953337</v>
      </c>
      <c r="C302" t="str">
        <f>"CEDAR HILL INDEP SCHOOL DIST"</f>
        <v>CEDAR HILL INDEP SCHOOL DIST</v>
      </c>
      <c r="D302" t="s">
        <v>11</v>
      </c>
      <c r="E302" t="s">
        <v>265</v>
      </c>
      <c r="F302" t="s">
        <v>266</v>
      </c>
      <c r="G302">
        <v>75104</v>
      </c>
      <c r="H302">
        <v>2010</v>
      </c>
      <c r="I302" s="1">
        <v>22260</v>
      </c>
      <c r="J302" s="1">
        <v>31800</v>
      </c>
      <c r="K302" s="1">
        <v>22260</v>
      </c>
    </row>
    <row r="303" spans="1:11" x14ac:dyDescent="0.35">
      <c r="A303">
        <v>746308</v>
      </c>
      <c r="B303">
        <v>2014521</v>
      </c>
      <c r="C303" t="str">
        <f>"CELINA INDEP SCHOOL DISTRICT"</f>
        <v>CELINA INDEP SCHOOL DISTRICT</v>
      </c>
      <c r="D303" t="s">
        <v>11</v>
      </c>
      <c r="E303" t="s">
        <v>267</v>
      </c>
      <c r="F303" t="s">
        <v>268</v>
      </c>
      <c r="G303">
        <v>75009</v>
      </c>
      <c r="H303">
        <v>2010</v>
      </c>
      <c r="I303" s="1">
        <v>27720</v>
      </c>
      <c r="J303" s="1">
        <v>50400</v>
      </c>
    </row>
    <row r="304" spans="1:11" x14ac:dyDescent="0.35">
      <c r="A304">
        <v>746308</v>
      </c>
      <c r="B304">
        <v>2014506</v>
      </c>
      <c r="C304" t="str">
        <f>"CELINA INDEP SCHOOL DISTRICT"</f>
        <v>CELINA INDEP SCHOOL DISTRICT</v>
      </c>
      <c r="D304" t="s">
        <v>11</v>
      </c>
      <c r="E304" t="s">
        <v>267</v>
      </c>
      <c r="F304" t="s">
        <v>268</v>
      </c>
      <c r="G304">
        <v>75009</v>
      </c>
      <c r="H304">
        <v>2010</v>
      </c>
      <c r="I304" s="1">
        <v>752.2</v>
      </c>
      <c r="J304" s="1">
        <v>1367.64</v>
      </c>
      <c r="K304" s="1">
        <v>752.2</v>
      </c>
    </row>
    <row r="305" spans="1:11" x14ac:dyDescent="0.35">
      <c r="A305">
        <v>719638</v>
      </c>
      <c r="B305">
        <v>1953564</v>
      </c>
      <c r="C305" t="str">
        <f>"CENTER INDEP SCHOOL DISTRICT"</f>
        <v>CENTER INDEP SCHOOL DISTRICT</v>
      </c>
      <c r="D305" t="s">
        <v>11</v>
      </c>
      <c r="E305" t="s">
        <v>269</v>
      </c>
      <c r="F305" t="s">
        <v>270</v>
      </c>
      <c r="G305">
        <v>75935</v>
      </c>
      <c r="H305">
        <v>2010</v>
      </c>
      <c r="I305" s="1">
        <v>43960.9</v>
      </c>
      <c r="J305" s="1">
        <v>52334.400000000001</v>
      </c>
      <c r="K305" s="1">
        <v>38753.78</v>
      </c>
    </row>
    <row r="306" spans="1:11" x14ac:dyDescent="0.35">
      <c r="A306">
        <v>718457</v>
      </c>
      <c r="B306">
        <v>1960104</v>
      </c>
      <c r="C306" t="str">
        <f>"CENTER POINT INDEP SCHOOL DIST"</f>
        <v>CENTER POINT INDEP SCHOOL DIST</v>
      </c>
      <c r="D306" t="s">
        <v>11</v>
      </c>
      <c r="E306" t="s">
        <v>271</v>
      </c>
      <c r="F306" t="s">
        <v>272</v>
      </c>
      <c r="G306">
        <v>78010</v>
      </c>
      <c r="H306">
        <v>2010</v>
      </c>
      <c r="I306" s="1">
        <v>3570</v>
      </c>
      <c r="J306" s="1">
        <v>4200</v>
      </c>
      <c r="K306" s="1">
        <v>3570</v>
      </c>
    </row>
    <row r="307" spans="1:11" x14ac:dyDescent="0.35">
      <c r="A307">
        <v>718457</v>
      </c>
      <c r="B307">
        <v>1960114</v>
      </c>
      <c r="C307" t="str">
        <f>"CENTER POINT INDEP SCHOOL DIST"</f>
        <v>CENTER POINT INDEP SCHOOL DIST</v>
      </c>
      <c r="D307" t="s">
        <v>11</v>
      </c>
      <c r="E307" t="s">
        <v>271</v>
      </c>
      <c r="F307" t="s">
        <v>272</v>
      </c>
      <c r="G307">
        <v>78010</v>
      </c>
      <c r="H307">
        <v>2010</v>
      </c>
      <c r="I307" s="1">
        <v>2040</v>
      </c>
      <c r="J307" s="1">
        <v>2400</v>
      </c>
      <c r="K307" s="1">
        <v>2040</v>
      </c>
    </row>
    <row r="308" spans="1:11" x14ac:dyDescent="0.35">
      <c r="A308">
        <v>751393</v>
      </c>
      <c r="B308">
        <v>2032923</v>
      </c>
      <c r="C308" t="str">
        <f>"CENTERVILLE (LEAON) ISD"</f>
        <v>CENTERVILLE (LEAON) ISD</v>
      </c>
      <c r="D308" t="s">
        <v>11</v>
      </c>
      <c r="E308" t="s">
        <v>273</v>
      </c>
      <c r="F308" t="s">
        <v>274</v>
      </c>
      <c r="G308">
        <v>75833</v>
      </c>
      <c r="H308">
        <v>2010</v>
      </c>
      <c r="I308" s="1">
        <v>0</v>
      </c>
      <c r="J308" s="1">
        <v>0</v>
      </c>
    </row>
    <row r="309" spans="1:11" x14ac:dyDescent="0.35">
      <c r="A309">
        <v>751393</v>
      </c>
      <c r="B309">
        <v>2032699</v>
      </c>
      <c r="C309" t="str">
        <f>"CENTERVILLE (LEAON) ISD"</f>
        <v>CENTERVILLE (LEAON) ISD</v>
      </c>
      <c r="D309" t="s">
        <v>11</v>
      </c>
      <c r="E309" t="s">
        <v>273</v>
      </c>
      <c r="F309" t="s">
        <v>274</v>
      </c>
      <c r="G309">
        <v>75833</v>
      </c>
      <c r="H309">
        <v>2010</v>
      </c>
      <c r="I309" s="1">
        <v>0</v>
      </c>
      <c r="J309" s="1">
        <v>0</v>
      </c>
    </row>
    <row r="310" spans="1:11" x14ac:dyDescent="0.35">
      <c r="A310">
        <v>729445</v>
      </c>
      <c r="B310">
        <v>2049727</v>
      </c>
      <c r="C310" t="str">
        <f>"CENTERVILLE INDEP SCHOOL DIST"</f>
        <v>CENTERVILLE INDEP SCHOOL DIST</v>
      </c>
      <c r="D310" t="s">
        <v>11</v>
      </c>
      <c r="E310" t="s">
        <v>275</v>
      </c>
      <c r="F310" t="s">
        <v>276</v>
      </c>
      <c r="G310">
        <v>75845</v>
      </c>
      <c r="H310">
        <v>2010</v>
      </c>
      <c r="I310" s="1">
        <v>6700.04</v>
      </c>
      <c r="J310" s="1">
        <v>8375.0499999999993</v>
      </c>
      <c r="K310" s="1">
        <v>6700.04</v>
      </c>
    </row>
    <row r="311" spans="1:11" x14ac:dyDescent="0.35">
      <c r="A311">
        <v>729445</v>
      </c>
      <c r="B311">
        <v>1973366</v>
      </c>
      <c r="C311" t="str">
        <f>"CENTERVILLE INDEP SCHOOL DIST"</f>
        <v>CENTERVILLE INDEP SCHOOL DIST</v>
      </c>
      <c r="D311" t="s">
        <v>11</v>
      </c>
      <c r="E311" t="s">
        <v>275</v>
      </c>
      <c r="F311" t="s">
        <v>276</v>
      </c>
      <c r="G311">
        <v>75845</v>
      </c>
      <c r="H311">
        <v>2010</v>
      </c>
      <c r="I311" s="1">
        <v>14904</v>
      </c>
      <c r="J311" s="1">
        <v>18630</v>
      </c>
      <c r="K311" s="1">
        <v>14904</v>
      </c>
    </row>
    <row r="312" spans="1:11" x14ac:dyDescent="0.35">
      <c r="A312">
        <v>716326</v>
      </c>
      <c r="B312">
        <v>2013133</v>
      </c>
      <c r="C312" t="str">
        <f>"CENTRAL CATHOLIC HIGH SCHOOL"</f>
        <v>CENTRAL CATHOLIC HIGH SCHOOL</v>
      </c>
      <c r="D312" t="s">
        <v>11</v>
      </c>
      <c r="E312" t="s">
        <v>277</v>
      </c>
      <c r="F312" t="s">
        <v>25</v>
      </c>
      <c r="G312">
        <v>78215</v>
      </c>
      <c r="H312">
        <v>2010</v>
      </c>
      <c r="I312" s="1">
        <v>6654.43</v>
      </c>
      <c r="J312" s="1">
        <v>16636.080000000002</v>
      </c>
      <c r="K312" s="1">
        <v>6654.43</v>
      </c>
    </row>
    <row r="313" spans="1:11" x14ac:dyDescent="0.35">
      <c r="A313">
        <v>728099</v>
      </c>
      <c r="B313">
        <v>1970001</v>
      </c>
      <c r="C313" t="str">
        <f>"CENTRAL HEIGHTS INDEP SCH DIST"</f>
        <v>CENTRAL HEIGHTS INDEP SCH DIST</v>
      </c>
      <c r="D313" t="s">
        <v>11</v>
      </c>
      <c r="E313" t="s">
        <v>278</v>
      </c>
      <c r="F313" t="s">
        <v>279</v>
      </c>
      <c r="G313">
        <v>75965</v>
      </c>
      <c r="H313">
        <v>2010</v>
      </c>
      <c r="I313" s="1">
        <v>2215.1999999999998</v>
      </c>
      <c r="J313" s="1">
        <v>3120</v>
      </c>
    </row>
    <row r="314" spans="1:11" x14ac:dyDescent="0.35">
      <c r="A314">
        <v>728067</v>
      </c>
      <c r="B314">
        <v>1969929</v>
      </c>
      <c r="C314" t="str">
        <f>"CENTRAL HEIGHTS INDEP SCH DIST"</f>
        <v>CENTRAL HEIGHTS INDEP SCH DIST</v>
      </c>
      <c r="D314" t="s">
        <v>11</v>
      </c>
      <c r="E314" t="s">
        <v>278</v>
      </c>
      <c r="F314" t="s">
        <v>279</v>
      </c>
      <c r="G314">
        <v>75965</v>
      </c>
      <c r="H314">
        <v>2010</v>
      </c>
      <c r="I314" s="1">
        <v>4941.6000000000004</v>
      </c>
      <c r="J314" s="1">
        <v>6960</v>
      </c>
    </row>
    <row r="315" spans="1:11" x14ac:dyDescent="0.35">
      <c r="A315">
        <v>728372</v>
      </c>
      <c r="B315">
        <v>1970669</v>
      </c>
      <c r="C315" t="str">
        <f>"CENTRAL HEIGHTS INDEP SCH DIST"</f>
        <v>CENTRAL HEIGHTS INDEP SCH DIST</v>
      </c>
      <c r="D315" t="s">
        <v>11</v>
      </c>
      <c r="E315" t="s">
        <v>278</v>
      </c>
      <c r="F315" t="s">
        <v>279</v>
      </c>
      <c r="G315">
        <v>75965</v>
      </c>
      <c r="H315">
        <v>2010</v>
      </c>
      <c r="I315" s="1">
        <v>426</v>
      </c>
      <c r="J315" s="1">
        <v>600</v>
      </c>
      <c r="K315" s="1">
        <v>159.75</v>
      </c>
    </row>
    <row r="316" spans="1:11" x14ac:dyDescent="0.35">
      <c r="A316">
        <v>728527</v>
      </c>
      <c r="B316">
        <v>1971074</v>
      </c>
      <c r="C316" t="str">
        <f>"CENTRAL HEIGHTS INDEP SCH DIST"</f>
        <v>CENTRAL HEIGHTS INDEP SCH DIST</v>
      </c>
      <c r="D316" t="s">
        <v>11</v>
      </c>
      <c r="E316" t="s">
        <v>278</v>
      </c>
      <c r="F316" t="s">
        <v>279</v>
      </c>
      <c r="G316">
        <v>75965</v>
      </c>
      <c r="H316">
        <v>2010</v>
      </c>
      <c r="I316" s="1">
        <v>2130</v>
      </c>
      <c r="J316" s="1">
        <v>3000</v>
      </c>
      <c r="K316" s="1">
        <v>2130</v>
      </c>
    </row>
    <row r="317" spans="1:11" x14ac:dyDescent="0.35">
      <c r="A317">
        <v>737717</v>
      </c>
      <c r="B317">
        <v>2041486</v>
      </c>
      <c r="C317" t="str">
        <f>"CENTRAL INDEP SCHOOL DISTRICT"</f>
        <v>CENTRAL INDEP SCHOOL DISTRICT</v>
      </c>
      <c r="D317" t="s">
        <v>11</v>
      </c>
      <c r="E317" t="s">
        <v>280</v>
      </c>
      <c r="F317" t="s">
        <v>281</v>
      </c>
      <c r="G317">
        <v>75969</v>
      </c>
      <c r="H317">
        <v>2010</v>
      </c>
      <c r="I317" s="1">
        <v>4415.5200000000004</v>
      </c>
      <c r="J317" s="1">
        <v>5734.44</v>
      </c>
      <c r="K317" s="1">
        <v>4415.5200000000004</v>
      </c>
    </row>
    <row r="318" spans="1:11" x14ac:dyDescent="0.35">
      <c r="A318">
        <v>741134</v>
      </c>
      <c r="B318">
        <v>2001507</v>
      </c>
      <c r="C318" t="str">
        <f>"CHANNELVIEW SCHOOL DISTRICT"</f>
        <v>CHANNELVIEW SCHOOL DISTRICT</v>
      </c>
      <c r="D318" t="s">
        <v>11</v>
      </c>
      <c r="E318" t="s">
        <v>282</v>
      </c>
      <c r="F318" t="s">
        <v>283</v>
      </c>
      <c r="G318">
        <v>77530</v>
      </c>
      <c r="H318">
        <v>2010</v>
      </c>
      <c r="I318" s="1">
        <v>13932</v>
      </c>
      <c r="J318" s="1">
        <v>16200</v>
      </c>
      <c r="K318" s="1">
        <v>13932</v>
      </c>
    </row>
    <row r="319" spans="1:11" x14ac:dyDescent="0.35">
      <c r="A319">
        <v>749995</v>
      </c>
      <c r="B319">
        <v>2026025</v>
      </c>
      <c r="C319" t="str">
        <f>"CHANNELVIEW SCHOOL DISTRICT"</f>
        <v>CHANNELVIEW SCHOOL DISTRICT</v>
      </c>
      <c r="D319" t="s">
        <v>11</v>
      </c>
      <c r="E319" t="s">
        <v>282</v>
      </c>
      <c r="F319" t="s">
        <v>283</v>
      </c>
      <c r="G319">
        <v>77530</v>
      </c>
      <c r="H319">
        <v>2010</v>
      </c>
      <c r="I319" s="1">
        <v>4735.49</v>
      </c>
      <c r="J319" s="1">
        <v>5506.38</v>
      </c>
      <c r="K319" s="1">
        <v>4735.49</v>
      </c>
    </row>
    <row r="320" spans="1:11" x14ac:dyDescent="0.35">
      <c r="A320">
        <v>735706</v>
      </c>
      <c r="B320">
        <v>1999545</v>
      </c>
      <c r="C320" t="str">
        <f>"CHANNING PUBLIC SCHOOL"</f>
        <v>CHANNING PUBLIC SCHOOL</v>
      </c>
      <c r="D320" t="s">
        <v>11</v>
      </c>
      <c r="E320" t="s">
        <v>284</v>
      </c>
      <c r="F320" t="s">
        <v>285</v>
      </c>
      <c r="G320">
        <v>79018</v>
      </c>
      <c r="H320">
        <v>2010</v>
      </c>
      <c r="I320" s="1">
        <v>4647.97</v>
      </c>
      <c r="J320" s="1">
        <v>6639.96</v>
      </c>
      <c r="K320" s="1">
        <v>4647.97</v>
      </c>
    </row>
    <row r="321" spans="1:11" x14ac:dyDescent="0.35">
      <c r="A321">
        <v>735706</v>
      </c>
      <c r="B321">
        <v>1999615</v>
      </c>
      <c r="C321" t="str">
        <f>"CHANNING PUBLIC SCHOOL"</f>
        <v>CHANNING PUBLIC SCHOOL</v>
      </c>
      <c r="D321" t="s">
        <v>11</v>
      </c>
      <c r="E321" t="s">
        <v>284</v>
      </c>
      <c r="F321" t="s">
        <v>285</v>
      </c>
      <c r="G321">
        <v>79018</v>
      </c>
      <c r="H321">
        <v>2010</v>
      </c>
      <c r="I321" s="1">
        <v>2589.9699999999998</v>
      </c>
      <c r="J321" s="1">
        <v>3699.96</v>
      </c>
      <c r="K321" s="1">
        <v>2589.9699999999998</v>
      </c>
    </row>
    <row r="322" spans="1:11" x14ac:dyDescent="0.35">
      <c r="A322">
        <v>749975</v>
      </c>
      <c r="B322">
        <v>2031743</v>
      </c>
      <c r="C322" t="str">
        <f>"CHAPEL HILL INDEP SCHOOL DIST"</f>
        <v>CHAPEL HILL INDEP SCHOOL DIST</v>
      </c>
      <c r="D322" t="s">
        <v>11</v>
      </c>
      <c r="E322" t="s">
        <v>286</v>
      </c>
      <c r="F322" t="s">
        <v>287</v>
      </c>
      <c r="G322">
        <v>75707</v>
      </c>
      <c r="H322">
        <v>2010</v>
      </c>
      <c r="I322" s="1">
        <v>9720</v>
      </c>
      <c r="J322" s="1">
        <v>12000</v>
      </c>
      <c r="K322" s="1">
        <v>9720</v>
      </c>
    </row>
    <row r="323" spans="1:11" x14ac:dyDescent="0.35">
      <c r="A323">
        <v>743829</v>
      </c>
      <c r="B323">
        <v>2008022</v>
      </c>
      <c r="C323" t="str">
        <f>"CHAPEL HILL INDEP SCHOOL DIST"</f>
        <v>CHAPEL HILL INDEP SCHOOL DIST</v>
      </c>
      <c r="D323" t="s">
        <v>11</v>
      </c>
      <c r="E323" t="s">
        <v>288</v>
      </c>
      <c r="F323" t="s">
        <v>289</v>
      </c>
      <c r="G323">
        <v>75455</v>
      </c>
      <c r="H323">
        <v>2010</v>
      </c>
      <c r="I323" s="1">
        <v>6302</v>
      </c>
      <c r="J323" s="1">
        <v>9002.85</v>
      </c>
      <c r="K323" s="1">
        <v>4989.29</v>
      </c>
    </row>
    <row r="324" spans="1:11" x14ac:dyDescent="0.35">
      <c r="A324">
        <v>764527</v>
      </c>
      <c r="B324">
        <v>2065933</v>
      </c>
      <c r="C324" t="str">
        <f>"CHARLOTTE INDEP SCHOOL DIST"</f>
        <v>CHARLOTTE INDEP SCHOOL DIST</v>
      </c>
      <c r="D324" t="s">
        <v>11</v>
      </c>
      <c r="E324" t="s">
        <v>290</v>
      </c>
      <c r="F324" t="s">
        <v>291</v>
      </c>
      <c r="G324">
        <v>78011</v>
      </c>
      <c r="H324">
        <v>2010</v>
      </c>
      <c r="I324" s="1">
        <v>9180</v>
      </c>
      <c r="J324" s="1">
        <v>10800</v>
      </c>
      <c r="K324" s="1">
        <v>9180</v>
      </c>
    </row>
    <row r="325" spans="1:11" x14ac:dyDescent="0.35">
      <c r="A325">
        <v>764527</v>
      </c>
      <c r="B325">
        <v>2066314</v>
      </c>
      <c r="C325" t="str">
        <f>"CHARLOTTE INDEP SCHOOL DIST"</f>
        <v>CHARLOTTE INDEP SCHOOL DIST</v>
      </c>
      <c r="D325" t="s">
        <v>11</v>
      </c>
      <c r="E325" t="s">
        <v>290</v>
      </c>
      <c r="F325" t="s">
        <v>291</v>
      </c>
      <c r="G325">
        <v>78011</v>
      </c>
      <c r="H325">
        <v>2010</v>
      </c>
      <c r="I325" s="1">
        <v>1127.92</v>
      </c>
      <c r="J325" s="1">
        <v>1326.96</v>
      </c>
      <c r="K325" s="1">
        <v>1127.92</v>
      </c>
    </row>
    <row r="326" spans="1:11" x14ac:dyDescent="0.35">
      <c r="A326">
        <v>745021</v>
      </c>
      <c r="B326">
        <v>2052840</v>
      </c>
      <c r="C326" t="str">
        <f>"CHEROKEE INDEP SCHOOL DISTRICT"</f>
        <v>CHEROKEE INDEP SCHOOL DISTRICT</v>
      </c>
      <c r="D326" t="s">
        <v>11</v>
      </c>
      <c r="E326" t="s">
        <v>292</v>
      </c>
      <c r="F326" t="s">
        <v>293</v>
      </c>
      <c r="G326">
        <v>76832</v>
      </c>
      <c r="H326">
        <v>2010</v>
      </c>
      <c r="I326" s="1">
        <v>1020</v>
      </c>
      <c r="J326" s="1">
        <v>1275</v>
      </c>
      <c r="K326" s="1">
        <v>1020</v>
      </c>
    </row>
    <row r="327" spans="1:11" x14ac:dyDescent="0.35">
      <c r="A327">
        <v>713719</v>
      </c>
      <c r="B327">
        <v>1943594</v>
      </c>
      <c r="C327" t="str">
        <f>"CHEROKEE INDEP SCHOOL DISTRICT"</f>
        <v>CHEROKEE INDEP SCHOOL DISTRICT</v>
      </c>
      <c r="D327" t="s">
        <v>11</v>
      </c>
      <c r="E327" t="s">
        <v>292</v>
      </c>
      <c r="F327" t="s">
        <v>293</v>
      </c>
      <c r="G327">
        <v>76832</v>
      </c>
      <c r="H327">
        <v>2010</v>
      </c>
      <c r="I327" s="1">
        <v>7314.72</v>
      </c>
      <c r="J327" s="1">
        <v>9143.4</v>
      </c>
      <c r="K327" s="1">
        <v>7314.72</v>
      </c>
    </row>
    <row r="328" spans="1:11" x14ac:dyDescent="0.35">
      <c r="A328">
        <v>744963</v>
      </c>
      <c r="B328">
        <v>2034931</v>
      </c>
      <c r="C328" t="str">
        <f>"CHICO INDEP SCHOOL DISTRICT"</f>
        <v>CHICO INDEP SCHOOL DISTRICT</v>
      </c>
      <c r="D328" t="s">
        <v>11</v>
      </c>
      <c r="E328" t="s">
        <v>294</v>
      </c>
      <c r="F328" t="s">
        <v>295</v>
      </c>
      <c r="G328">
        <v>76431</v>
      </c>
      <c r="H328">
        <v>2010</v>
      </c>
      <c r="I328" s="1">
        <v>10164</v>
      </c>
      <c r="J328" s="1">
        <v>13200</v>
      </c>
      <c r="K328" s="1">
        <v>10164</v>
      </c>
    </row>
    <row r="329" spans="1:11" x14ac:dyDescent="0.35">
      <c r="A329">
        <v>744963</v>
      </c>
      <c r="B329">
        <v>2035098</v>
      </c>
      <c r="C329" t="str">
        <f>"CHICO INDEP SCHOOL DISTRICT"</f>
        <v>CHICO INDEP SCHOOL DISTRICT</v>
      </c>
      <c r="D329" t="s">
        <v>11</v>
      </c>
      <c r="E329" t="s">
        <v>294</v>
      </c>
      <c r="F329" t="s">
        <v>295</v>
      </c>
      <c r="G329">
        <v>76431</v>
      </c>
      <c r="H329">
        <v>2010</v>
      </c>
      <c r="I329" s="1">
        <v>1539.11</v>
      </c>
      <c r="J329" s="1">
        <v>1998.85</v>
      </c>
      <c r="K329" s="1">
        <v>1539.11</v>
      </c>
    </row>
    <row r="330" spans="1:11" x14ac:dyDescent="0.35">
      <c r="A330">
        <v>744963</v>
      </c>
      <c r="B330">
        <v>2034973</v>
      </c>
      <c r="C330" t="str">
        <f>"CHICO INDEP SCHOOL DISTRICT"</f>
        <v>CHICO INDEP SCHOOL DISTRICT</v>
      </c>
      <c r="D330" t="s">
        <v>11</v>
      </c>
      <c r="E330" t="s">
        <v>294</v>
      </c>
      <c r="F330" t="s">
        <v>295</v>
      </c>
      <c r="G330">
        <v>76431</v>
      </c>
      <c r="H330">
        <v>2010</v>
      </c>
      <c r="I330" s="1">
        <v>924</v>
      </c>
      <c r="J330" s="1">
        <v>1200</v>
      </c>
      <c r="K330" s="1">
        <v>924</v>
      </c>
    </row>
    <row r="331" spans="1:11" x14ac:dyDescent="0.35">
      <c r="A331">
        <v>744963</v>
      </c>
      <c r="B331">
        <v>2035161</v>
      </c>
      <c r="C331" t="str">
        <f>"CHICO INDEP SCHOOL DISTRICT"</f>
        <v>CHICO INDEP SCHOOL DISTRICT</v>
      </c>
      <c r="D331" t="s">
        <v>11</v>
      </c>
      <c r="E331" t="s">
        <v>294</v>
      </c>
      <c r="F331" t="s">
        <v>295</v>
      </c>
      <c r="G331">
        <v>76431</v>
      </c>
      <c r="H331">
        <v>2010</v>
      </c>
      <c r="I331" s="1">
        <v>2517.9</v>
      </c>
      <c r="J331" s="1">
        <v>3270</v>
      </c>
      <c r="K331" s="1">
        <v>2517.9</v>
      </c>
    </row>
    <row r="332" spans="1:11" x14ac:dyDescent="0.35">
      <c r="A332">
        <v>744963</v>
      </c>
      <c r="B332">
        <v>2034895</v>
      </c>
      <c r="C332" t="str">
        <f>"CHICO INDEP SCHOOL DISTRICT"</f>
        <v>CHICO INDEP SCHOOL DISTRICT</v>
      </c>
      <c r="D332" t="s">
        <v>11</v>
      </c>
      <c r="E332" t="s">
        <v>294</v>
      </c>
      <c r="F332" t="s">
        <v>295</v>
      </c>
      <c r="G332">
        <v>76431</v>
      </c>
      <c r="H332">
        <v>2010</v>
      </c>
      <c r="I332" s="1">
        <v>2772</v>
      </c>
      <c r="J332" s="1">
        <v>3600</v>
      </c>
      <c r="K332" s="1">
        <v>2772</v>
      </c>
    </row>
    <row r="333" spans="1:11" x14ac:dyDescent="0.35">
      <c r="A333">
        <v>743257</v>
      </c>
      <c r="B333">
        <v>2019345</v>
      </c>
      <c r="C333" t="str">
        <f>"CHILDRESS INDEP SCHOOL DIST"</f>
        <v>CHILDRESS INDEP SCHOOL DIST</v>
      </c>
      <c r="D333" t="s">
        <v>11</v>
      </c>
      <c r="E333" t="s">
        <v>296</v>
      </c>
      <c r="F333" t="s">
        <v>297</v>
      </c>
      <c r="G333">
        <v>79201</v>
      </c>
      <c r="H333">
        <v>2010</v>
      </c>
      <c r="I333" s="1">
        <v>46041.63</v>
      </c>
      <c r="J333" s="1">
        <v>59794.32</v>
      </c>
    </row>
    <row r="334" spans="1:11" x14ac:dyDescent="0.35">
      <c r="A334">
        <v>723203</v>
      </c>
      <c r="B334">
        <v>1960152</v>
      </c>
      <c r="C334" t="str">
        <f>"CHILDRESS INDEP SCHOOL DIST"</f>
        <v>CHILDRESS INDEP SCHOOL DIST</v>
      </c>
      <c r="D334" t="s">
        <v>11</v>
      </c>
      <c r="E334" t="s">
        <v>296</v>
      </c>
      <c r="F334" t="s">
        <v>297</v>
      </c>
      <c r="G334">
        <v>79201</v>
      </c>
      <c r="H334">
        <v>2010</v>
      </c>
      <c r="I334" s="1">
        <v>2554.4</v>
      </c>
      <c r="J334" s="1">
        <v>3317.4</v>
      </c>
    </row>
    <row r="335" spans="1:11" x14ac:dyDescent="0.35">
      <c r="A335">
        <v>722382</v>
      </c>
      <c r="B335">
        <v>1958581</v>
      </c>
      <c r="C335" t="str">
        <f>"CHILDRESS INDEP SCHOOL DIST"</f>
        <v>CHILDRESS INDEP SCHOOL DIST</v>
      </c>
      <c r="D335" t="s">
        <v>11</v>
      </c>
      <c r="E335" t="s">
        <v>296</v>
      </c>
      <c r="F335" t="s">
        <v>297</v>
      </c>
      <c r="G335">
        <v>79201</v>
      </c>
      <c r="H335">
        <v>2010</v>
      </c>
      <c r="I335" s="1">
        <v>5112.8</v>
      </c>
      <c r="J335" s="1">
        <v>6640</v>
      </c>
      <c r="K335" s="1">
        <v>5112.8</v>
      </c>
    </row>
    <row r="336" spans="1:11" x14ac:dyDescent="0.35">
      <c r="A336">
        <v>746849</v>
      </c>
      <c r="B336">
        <v>2017001</v>
      </c>
      <c r="C336" t="str">
        <f>"CHILLICOTHE SCHOOL DISTRICT"</f>
        <v>CHILLICOTHE SCHOOL DISTRICT</v>
      </c>
      <c r="D336" t="s">
        <v>11</v>
      </c>
      <c r="E336" t="s">
        <v>298</v>
      </c>
      <c r="F336" t="s">
        <v>299</v>
      </c>
      <c r="G336">
        <v>79225</v>
      </c>
      <c r="H336">
        <v>2010</v>
      </c>
      <c r="I336" s="1">
        <v>7461.72</v>
      </c>
      <c r="J336" s="1">
        <v>8290.7999999999993</v>
      </c>
      <c r="K336" s="1">
        <v>7461.72</v>
      </c>
    </row>
    <row r="337" spans="1:11" x14ac:dyDescent="0.35">
      <c r="A337">
        <v>746849</v>
      </c>
      <c r="B337">
        <v>2017127</v>
      </c>
      <c r="C337" t="str">
        <f>"CHILLICOTHE SCHOOL DISTRICT"</f>
        <v>CHILLICOTHE SCHOOL DISTRICT</v>
      </c>
      <c r="D337" t="s">
        <v>11</v>
      </c>
      <c r="E337" t="s">
        <v>298</v>
      </c>
      <c r="F337" t="s">
        <v>299</v>
      </c>
      <c r="G337">
        <v>79225</v>
      </c>
      <c r="H337">
        <v>2010</v>
      </c>
      <c r="I337" s="1">
        <v>769.5</v>
      </c>
      <c r="J337" s="1">
        <v>855</v>
      </c>
      <c r="K337" s="1">
        <v>769.5</v>
      </c>
    </row>
    <row r="338" spans="1:11" x14ac:dyDescent="0.35">
      <c r="A338">
        <v>752508</v>
      </c>
      <c r="B338">
        <v>2063649</v>
      </c>
      <c r="C338" t="str">
        <f>"CHILTON INDEP SCHOOL DISTRICT"</f>
        <v>CHILTON INDEP SCHOOL DISTRICT</v>
      </c>
      <c r="D338" t="s">
        <v>11</v>
      </c>
      <c r="E338" t="s">
        <v>300</v>
      </c>
      <c r="F338" t="s">
        <v>301</v>
      </c>
      <c r="G338">
        <v>76632</v>
      </c>
      <c r="H338">
        <v>2010</v>
      </c>
      <c r="I338" s="1">
        <v>10098</v>
      </c>
      <c r="J338" s="1">
        <v>11220</v>
      </c>
      <c r="K338" s="1">
        <v>9450</v>
      </c>
    </row>
    <row r="339" spans="1:11" x14ac:dyDescent="0.35">
      <c r="A339">
        <v>748596</v>
      </c>
      <c r="B339">
        <v>2021353</v>
      </c>
      <c r="C339" t="str">
        <f>"CHINA SPRING INDEPENDENT SCHOOL DISTRICT"</f>
        <v>CHINA SPRING INDEPENDENT SCHOOL DISTRICT</v>
      </c>
      <c r="D339" t="s">
        <v>11</v>
      </c>
      <c r="E339" t="s">
        <v>302</v>
      </c>
      <c r="F339" t="s">
        <v>303</v>
      </c>
      <c r="G339">
        <v>76708</v>
      </c>
      <c r="H339">
        <v>2010</v>
      </c>
      <c r="I339" s="1">
        <v>8685.6</v>
      </c>
      <c r="J339" s="1">
        <v>18480</v>
      </c>
      <c r="K339" s="1">
        <v>8685.6</v>
      </c>
    </row>
    <row r="340" spans="1:11" x14ac:dyDescent="0.35">
      <c r="A340">
        <v>748596</v>
      </c>
      <c r="B340">
        <v>2022778</v>
      </c>
      <c r="C340" t="str">
        <f>"CHINA SPRING INDEPENDENT SCHOOL DISTRICT"</f>
        <v>CHINA SPRING INDEPENDENT SCHOOL DISTRICT</v>
      </c>
      <c r="D340" t="s">
        <v>11</v>
      </c>
      <c r="E340" t="s">
        <v>302</v>
      </c>
      <c r="F340" t="s">
        <v>303</v>
      </c>
      <c r="G340">
        <v>76708</v>
      </c>
      <c r="H340">
        <v>2010</v>
      </c>
      <c r="I340" s="1">
        <v>1588.6</v>
      </c>
      <c r="J340" s="1">
        <v>3380</v>
      </c>
      <c r="K340" s="1">
        <v>1588.6</v>
      </c>
    </row>
    <row r="341" spans="1:11" x14ac:dyDescent="0.35">
      <c r="A341">
        <v>731787</v>
      </c>
      <c r="B341">
        <v>1979216</v>
      </c>
      <c r="C341" t="str">
        <f>"CHIRENO INDEP SCHOOL DISTRICT"</f>
        <v>CHIRENO INDEP SCHOOL DISTRICT</v>
      </c>
      <c r="D341" t="s">
        <v>11</v>
      </c>
      <c r="E341" t="s">
        <v>304</v>
      </c>
      <c r="F341" t="s">
        <v>305</v>
      </c>
      <c r="G341">
        <v>75937</v>
      </c>
      <c r="H341">
        <v>2010</v>
      </c>
      <c r="I341" s="1">
        <v>2871</v>
      </c>
      <c r="J341" s="1">
        <v>3300</v>
      </c>
      <c r="K341" s="1">
        <v>2871</v>
      </c>
    </row>
    <row r="342" spans="1:11" x14ac:dyDescent="0.35">
      <c r="A342">
        <v>723036</v>
      </c>
      <c r="B342">
        <v>1980357</v>
      </c>
      <c r="C342" t="str">
        <f>"CHISUM ISD"</f>
        <v>CHISUM ISD</v>
      </c>
      <c r="D342" t="s">
        <v>11</v>
      </c>
      <c r="E342" t="s">
        <v>306</v>
      </c>
      <c r="F342" t="s">
        <v>307</v>
      </c>
      <c r="G342">
        <v>75462</v>
      </c>
      <c r="H342">
        <v>2010</v>
      </c>
      <c r="I342" s="1">
        <v>1857</v>
      </c>
      <c r="J342" s="1">
        <v>2476</v>
      </c>
      <c r="K342" s="1">
        <v>1857</v>
      </c>
    </row>
    <row r="343" spans="1:11" x14ac:dyDescent="0.35">
      <c r="A343">
        <v>731743</v>
      </c>
      <c r="B343">
        <v>2000909</v>
      </c>
      <c r="C343" t="str">
        <f>"CITY VIEW INDEP SCHOOL DIST"</f>
        <v>CITY VIEW INDEP SCHOOL DIST</v>
      </c>
      <c r="D343" t="s">
        <v>11</v>
      </c>
      <c r="E343" t="s">
        <v>308</v>
      </c>
      <c r="F343" t="s">
        <v>309</v>
      </c>
      <c r="G343">
        <v>76306</v>
      </c>
      <c r="H343">
        <v>2010</v>
      </c>
      <c r="I343" s="1">
        <v>576</v>
      </c>
      <c r="J343" s="1">
        <v>720</v>
      </c>
      <c r="K343" s="1">
        <v>576</v>
      </c>
    </row>
    <row r="344" spans="1:11" x14ac:dyDescent="0.35">
      <c r="A344">
        <v>731743</v>
      </c>
      <c r="B344">
        <v>2000876</v>
      </c>
      <c r="C344" t="str">
        <f>"CITY VIEW INDEP SCHOOL DIST"</f>
        <v>CITY VIEW INDEP SCHOOL DIST</v>
      </c>
      <c r="D344" t="s">
        <v>11</v>
      </c>
      <c r="E344" t="s">
        <v>308</v>
      </c>
      <c r="F344" t="s">
        <v>309</v>
      </c>
      <c r="G344">
        <v>76306</v>
      </c>
      <c r="H344">
        <v>2010</v>
      </c>
      <c r="I344" s="1">
        <v>2216.7600000000002</v>
      </c>
      <c r="J344" s="1">
        <v>2770.95</v>
      </c>
      <c r="K344" s="1">
        <v>2216.7600000000002</v>
      </c>
    </row>
    <row r="345" spans="1:11" x14ac:dyDescent="0.35">
      <c r="A345">
        <v>731743</v>
      </c>
      <c r="B345">
        <v>2000784</v>
      </c>
      <c r="C345" t="str">
        <f>"CITY VIEW INDEP SCHOOL DIST"</f>
        <v>CITY VIEW INDEP SCHOOL DIST</v>
      </c>
      <c r="D345" t="s">
        <v>11</v>
      </c>
      <c r="E345" t="s">
        <v>308</v>
      </c>
      <c r="F345" t="s">
        <v>309</v>
      </c>
      <c r="G345">
        <v>76306</v>
      </c>
      <c r="H345">
        <v>2010</v>
      </c>
      <c r="I345" s="1">
        <v>7580.16</v>
      </c>
      <c r="J345" s="1">
        <v>9475.2000000000007</v>
      </c>
      <c r="K345" s="1">
        <v>7580.16</v>
      </c>
    </row>
    <row r="346" spans="1:11" x14ac:dyDescent="0.35">
      <c r="A346">
        <v>728651</v>
      </c>
      <c r="B346">
        <v>1971414</v>
      </c>
      <c r="C346" t="str">
        <f>"CLARENDON INDEP SCHOOL DIST"</f>
        <v>CLARENDON INDEP SCHOOL DIST</v>
      </c>
      <c r="D346" t="s">
        <v>11</v>
      </c>
      <c r="E346" t="s">
        <v>310</v>
      </c>
      <c r="F346" t="s">
        <v>311</v>
      </c>
      <c r="G346">
        <v>79226</v>
      </c>
      <c r="H346">
        <v>2010</v>
      </c>
      <c r="I346" s="1">
        <v>5698</v>
      </c>
      <c r="J346" s="1">
        <v>7400</v>
      </c>
      <c r="K346" s="1">
        <v>5698</v>
      </c>
    </row>
    <row r="347" spans="1:11" x14ac:dyDescent="0.35">
      <c r="A347">
        <v>728696</v>
      </c>
      <c r="B347">
        <v>1971483</v>
      </c>
      <c r="C347" t="str">
        <f>"CLARENDON INDEP SCHOOL DIST"</f>
        <v>CLARENDON INDEP SCHOOL DIST</v>
      </c>
      <c r="D347" t="s">
        <v>11</v>
      </c>
      <c r="E347" t="s">
        <v>310</v>
      </c>
      <c r="F347" t="s">
        <v>311</v>
      </c>
      <c r="G347">
        <v>79226</v>
      </c>
      <c r="H347">
        <v>2010</v>
      </c>
      <c r="I347" s="1">
        <v>12620.27</v>
      </c>
      <c r="J347" s="1">
        <v>16389.96</v>
      </c>
      <c r="K347" s="1">
        <v>12620.27</v>
      </c>
    </row>
    <row r="348" spans="1:11" x14ac:dyDescent="0.35">
      <c r="A348">
        <v>726256</v>
      </c>
      <c r="B348">
        <v>1966552</v>
      </c>
      <c r="C348" t="str">
        <f>"CLARKSVILLE INDEP SCHOOL DIST"</f>
        <v>CLARKSVILLE INDEP SCHOOL DIST</v>
      </c>
      <c r="D348" t="s">
        <v>11</v>
      </c>
      <c r="E348" t="s">
        <v>312</v>
      </c>
      <c r="F348" t="s">
        <v>313</v>
      </c>
      <c r="G348">
        <v>75426</v>
      </c>
      <c r="H348">
        <v>2010</v>
      </c>
      <c r="I348" s="1">
        <v>12947.26</v>
      </c>
      <c r="J348" s="1">
        <v>14385.84</v>
      </c>
      <c r="K348" s="1">
        <v>5086.28</v>
      </c>
    </row>
    <row r="349" spans="1:11" x14ac:dyDescent="0.35">
      <c r="A349">
        <v>710008</v>
      </c>
      <c r="B349">
        <v>1940080</v>
      </c>
      <c r="C349" t="str">
        <f>"CLARKSVILLE INDEP SCHOOL DIST"</f>
        <v>CLARKSVILLE INDEP SCHOOL DIST</v>
      </c>
      <c r="D349" t="s">
        <v>11</v>
      </c>
      <c r="E349" t="s">
        <v>312</v>
      </c>
      <c r="F349" t="s">
        <v>313</v>
      </c>
      <c r="G349">
        <v>75426</v>
      </c>
      <c r="H349">
        <v>2010</v>
      </c>
      <c r="I349" s="1">
        <v>13953.71</v>
      </c>
      <c r="J349" s="1">
        <v>15504.12</v>
      </c>
      <c r="K349" s="1">
        <v>13953.71</v>
      </c>
    </row>
    <row r="350" spans="1:11" x14ac:dyDescent="0.35">
      <c r="A350">
        <v>753349</v>
      </c>
      <c r="B350">
        <v>2053639</v>
      </c>
      <c r="C350" t="str">
        <f>"CLAUDE INDEP SCHOOL DISTRICT"</f>
        <v>CLAUDE INDEP SCHOOL DISTRICT</v>
      </c>
      <c r="D350" t="s">
        <v>11</v>
      </c>
      <c r="E350" t="s">
        <v>314</v>
      </c>
      <c r="F350" t="s">
        <v>315</v>
      </c>
      <c r="G350">
        <v>79019</v>
      </c>
      <c r="H350">
        <v>2010</v>
      </c>
      <c r="I350" s="1">
        <v>2590</v>
      </c>
      <c r="J350" s="1">
        <v>3700</v>
      </c>
      <c r="K350" s="1">
        <v>2590</v>
      </c>
    </row>
    <row r="351" spans="1:11" x14ac:dyDescent="0.35">
      <c r="A351">
        <v>753349</v>
      </c>
      <c r="B351">
        <v>2053628</v>
      </c>
      <c r="C351" t="str">
        <f>"CLAUDE INDEP SCHOOL DISTRICT"</f>
        <v>CLAUDE INDEP SCHOOL DISTRICT</v>
      </c>
      <c r="D351" t="s">
        <v>11</v>
      </c>
      <c r="E351" t="s">
        <v>314</v>
      </c>
      <c r="F351" t="s">
        <v>315</v>
      </c>
      <c r="G351">
        <v>79019</v>
      </c>
      <c r="H351">
        <v>2010</v>
      </c>
      <c r="I351" s="1">
        <v>6748</v>
      </c>
      <c r="J351" s="1">
        <v>9640</v>
      </c>
      <c r="K351" s="1">
        <v>6748</v>
      </c>
    </row>
    <row r="352" spans="1:11" x14ac:dyDescent="0.35">
      <c r="A352">
        <v>753349</v>
      </c>
      <c r="B352">
        <v>2053686</v>
      </c>
      <c r="C352" t="str">
        <f>"CLAUDE INDEP SCHOOL DISTRICT"</f>
        <v>CLAUDE INDEP SCHOOL DISTRICT</v>
      </c>
      <c r="D352" t="s">
        <v>11</v>
      </c>
      <c r="E352" t="s">
        <v>314</v>
      </c>
      <c r="F352" t="s">
        <v>315</v>
      </c>
      <c r="G352">
        <v>79019</v>
      </c>
      <c r="H352">
        <v>2010</v>
      </c>
      <c r="I352" s="1">
        <v>2494.8000000000002</v>
      </c>
      <c r="J352" s="1">
        <v>3564</v>
      </c>
      <c r="K352" s="1">
        <v>2494.8000000000002</v>
      </c>
    </row>
    <row r="353" spans="1:11" x14ac:dyDescent="0.35">
      <c r="A353">
        <v>752224</v>
      </c>
      <c r="B353">
        <v>2048335</v>
      </c>
      <c r="C353" t="str">
        <f>"CLEAR CREEK INDEP SCHOOL DIST"</f>
        <v>CLEAR CREEK INDEP SCHOOL DIST</v>
      </c>
      <c r="D353" t="s">
        <v>11</v>
      </c>
      <c r="E353" t="s">
        <v>316</v>
      </c>
      <c r="F353" t="s">
        <v>317</v>
      </c>
      <c r="G353">
        <v>77573</v>
      </c>
      <c r="H353">
        <v>2010</v>
      </c>
      <c r="I353" s="1">
        <v>2129.44</v>
      </c>
      <c r="J353" s="1">
        <v>4530.72</v>
      </c>
      <c r="K353" s="1">
        <v>2129.36</v>
      </c>
    </row>
    <row r="354" spans="1:11" x14ac:dyDescent="0.35">
      <c r="A354">
        <v>752224</v>
      </c>
      <c r="B354">
        <v>2048269</v>
      </c>
      <c r="C354" t="str">
        <f>"CLEAR CREEK INDEP SCHOOL DIST"</f>
        <v>CLEAR CREEK INDEP SCHOOL DIST</v>
      </c>
      <c r="D354" t="s">
        <v>11</v>
      </c>
      <c r="E354" t="s">
        <v>316</v>
      </c>
      <c r="F354" t="s">
        <v>317</v>
      </c>
      <c r="G354">
        <v>77573</v>
      </c>
      <c r="H354">
        <v>2010</v>
      </c>
      <c r="I354" s="1">
        <v>71064</v>
      </c>
      <c r="J354" s="1">
        <v>151200</v>
      </c>
      <c r="K354" s="1">
        <v>40608</v>
      </c>
    </row>
    <row r="355" spans="1:11" x14ac:dyDescent="0.35">
      <c r="A355">
        <v>726191</v>
      </c>
      <c r="B355">
        <v>1966517</v>
      </c>
      <c r="C355" t="str">
        <f>"CLEBURNE INDEP SCHOOL DISTRICT"</f>
        <v>CLEBURNE INDEP SCHOOL DISTRICT</v>
      </c>
      <c r="D355" t="s">
        <v>11</v>
      </c>
      <c r="E355" t="s">
        <v>318</v>
      </c>
      <c r="F355" t="s">
        <v>319</v>
      </c>
      <c r="G355">
        <v>76033</v>
      </c>
      <c r="H355">
        <v>2010</v>
      </c>
      <c r="I355" s="1">
        <v>26827.200000000001</v>
      </c>
      <c r="J355" s="1">
        <v>33120</v>
      </c>
      <c r="K355" s="1">
        <v>21908.99</v>
      </c>
    </row>
    <row r="356" spans="1:11" x14ac:dyDescent="0.35">
      <c r="A356">
        <v>726191</v>
      </c>
      <c r="B356">
        <v>1966580</v>
      </c>
      <c r="C356" t="str">
        <f>"CLEBURNE INDEP SCHOOL DISTRICT"</f>
        <v>CLEBURNE INDEP SCHOOL DISTRICT</v>
      </c>
      <c r="D356" t="s">
        <v>11</v>
      </c>
      <c r="E356" t="s">
        <v>318</v>
      </c>
      <c r="F356" t="s">
        <v>319</v>
      </c>
      <c r="G356">
        <v>76033</v>
      </c>
      <c r="H356">
        <v>2010</v>
      </c>
      <c r="I356" s="1">
        <v>10291.049999999999</v>
      </c>
      <c r="J356" s="1">
        <v>12705</v>
      </c>
      <c r="K356" s="1">
        <v>10291.049999999999</v>
      </c>
    </row>
    <row r="357" spans="1:11" x14ac:dyDescent="0.35">
      <c r="A357">
        <v>726191</v>
      </c>
      <c r="B357">
        <v>1966549</v>
      </c>
      <c r="C357" t="str">
        <f>"CLEBURNE INDEP SCHOOL DISTRICT"</f>
        <v>CLEBURNE INDEP SCHOOL DISTRICT</v>
      </c>
      <c r="D357" t="s">
        <v>11</v>
      </c>
      <c r="E357" t="s">
        <v>318</v>
      </c>
      <c r="F357" t="s">
        <v>319</v>
      </c>
      <c r="G357">
        <v>76033</v>
      </c>
      <c r="H357">
        <v>2010</v>
      </c>
      <c r="I357" s="1">
        <v>3597.93</v>
      </c>
      <c r="J357" s="1">
        <v>3997.7</v>
      </c>
      <c r="K357" s="1">
        <v>3597.93</v>
      </c>
    </row>
    <row r="358" spans="1:11" x14ac:dyDescent="0.35">
      <c r="A358">
        <v>721927</v>
      </c>
      <c r="B358">
        <v>1957798</v>
      </c>
      <c r="C358" t="str">
        <f>"CLEVELAND INDEP SCHOOL DIST"</f>
        <v>CLEVELAND INDEP SCHOOL DIST</v>
      </c>
      <c r="D358" t="s">
        <v>11</v>
      </c>
      <c r="E358" t="s">
        <v>320</v>
      </c>
      <c r="F358" t="s">
        <v>321</v>
      </c>
      <c r="G358">
        <v>77327</v>
      </c>
      <c r="H358">
        <v>2010</v>
      </c>
      <c r="I358" s="1">
        <v>4837.5</v>
      </c>
      <c r="J358" s="1">
        <v>5625</v>
      </c>
      <c r="K358" s="1">
        <v>3758.85</v>
      </c>
    </row>
    <row r="359" spans="1:11" x14ac:dyDescent="0.35">
      <c r="A359">
        <v>721927</v>
      </c>
      <c r="B359">
        <v>1957785</v>
      </c>
      <c r="C359" t="str">
        <f>"CLEVELAND INDEP SCHOOL DIST"</f>
        <v>CLEVELAND INDEP SCHOOL DIST</v>
      </c>
      <c r="D359" t="s">
        <v>11</v>
      </c>
      <c r="E359" t="s">
        <v>320</v>
      </c>
      <c r="F359" t="s">
        <v>321</v>
      </c>
      <c r="G359">
        <v>77327</v>
      </c>
      <c r="H359">
        <v>2010</v>
      </c>
      <c r="I359" s="1">
        <v>6925.24</v>
      </c>
      <c r="J359" s="1">
        <v>8052.6</v>
      </c>
      <c r="K359" s="1">
        <v>6925.24</v>
      </c>
    </row>
    <row r="360" spans="1:11" x14ac:dyDescent="0.35">
      <c r="A360">
        <v>751130</v>
      </c>
      <c r="B360">
        <v>2029249</v>
      </c>
      <c r="C360" t="str">
        <f>"CLIFTON INDEP SCHOOL DISTRICT"</f>
        <v>CLIFTON INDEP SCHOOL DISTRICT</v>
      </c>
      <c r="D360" t="s">
        <v>11</v>
      </c>
      <c r="E360" t="s">
        <v>322</v>
      </c>
      <c r="F360" t="s">
        <v>323</v>
      </c>
      <c r="G360">
        <v>76634</v>
      </c>
      <c r="H360">
        <v>2010</v>
      </c>
      <c r="I360" s="1">
        <v>5883.84</v>
      </c>
      <c r="J360" s="1">
        <v>8172</v>
      </c>
      <c r="K360" s="1">
        <v>5883.84</v>
      </c>
    </row>
    <row r="361" spans="1:11" x14ac:dyDescent="0.35">
      <c r="A361">
        <v>766920</v>
      </c>
      <c r="B361">
        <v>2073561</v>
      </c>
      <c r="C361" t="str">
        <f>"CLINT INDEPENDENT SCHOOL DISTRICT"</f>
        <v>CLINT INDEPENDENT SCHOOL DISTRICT</v>
      </c>
      <c r="D361" t="s">
        <v>11</v>
      </c>
      <c r="E361" t="s">
        <v>324</v>
      </c>
      <c r="F361" t="s">
        <v>220</v>
      </c>
      <c r="G361">
        <v>79928</v>
      </c>
      <c r="H361">
        <v>2010</v>
      </c>
      <c r="I361" s="1">
        <v>23351.07</v>
      </c>
      <c r="J361" s="1">
        <v>26237.16</v>
      </c>
      <c r="K361" s="1">
        <v>14157.58</v>
      </c>
    </row>
    <row r="362" spans="1:11" x14ac:dyDescent="0.35">
      <c r="A362">
        <v>748983</v>
      </c>
      <c r="B362">
        <v>2022941</v>
      </c>
      <c r="C362" t="str">
        <f>"CLINT INDEPENDENT SCHOOL DISTRICT"</f>
        <v>CLINT INDEPENDENT SCHOOL DISTRICT</v>
      </c>
      <c r="D362" t="s">
        <v>11</v>
      </c>
      <c r="E362" t="s">
        <v>324</v>
      </c>
      <c r="F362" t="s">
        <v>220</v>
      </c>
      <c r="G362">
        <v>79928</v>
      </c>
      <c r="H362">
        <v>2010</v>
      </c>
      <c r="I362" s="1">
        <v>40637.4</v>
      </c>
      <c r="J362" s="1">
        <v>45660</v>
      </c>
      <c r="K362" s="1">
        <v>33211.56</v>
      </c>
    </row>
    <row r="363" spans="1:11" x14ac:dyDescent="0.35">
      <c r="A363">
        <v>749012</v>
      </c>
      <c r="B363">
        <v>2023061</v>
      </c>
      <c r="C363" t="str">
        <f>"CLINT INDEPENDENT SCHOOL DISTRICT"</f>
        <v>CLINT INDEPENDENT SCHOOL DISTRICT</v>
      </c>
      <c r="D363" t="s">
        <v>11</v>
      </c>
      <c r="E363" t="s">
        <v>324</v>
      </c>
      <c r="F363" t="s">
        <v>220</v>
      </c>
      <c r="G363">
        <v>79928</v>
      </c>
      <c r="H363">
        <v>2010</v>
      </c>
      <c r="I363" s="1">
        <v>29859.46</v>
      </c>
      <c r="J363" s="1">
        <v>33549.96</v>
      </c>
      <c r="K363" s="1">
        <v>12433.3</v>
      </c>
    </row>
    <row r="364" spans="1:11" x14ac:dyDescent="0.35">
      <c r="A364">
        <v>748932</v>
      </c>
      <c r="B364">
        <v>2022693</v>
      </c>
      <c r="C364" t="str">
        <f>"CLINT INDEPENDENT SCHOOL DISTRICT"</f>
        <v>CLINT INDEPENDENT SCHOOL DISTRICT</v>
      </c>
      <c r="D364" t="s">
        <v>11</v>
      </c>
      <c r="E364" t="s">
        <v>324</v>
      </c>
      <c r="F364" t="s">
        <v>220</v>
      </c>
      <c r="G364">
        <v>79928</v>
      </c>
      <c r="H364">
        <v>2010</v>
      </c>
      <c r="I364" s="1">
        <v>8052.72</v>
      </c>
      <c r="J364" s="1">
        <v>9048</v>
      </c>
      <c r="K364" s="1">
        <v>8052.72</v>
      </c>
    </row>
    <row r="365" spans="1:11" x14ac:dyDescent="0.35">
      <c r="A365">
        <v>729922</v>
      </c>
      <c r="B365">
        <v>1974516</v>
      </c>
      <c r="C365" t="str">
        <f>"COLDSPRING-OAKHURST CONS I S D"</f>
        <v>COLDSPRING-OAKHURST CONS I S D</v>
      </c>
      <c r="D365" t="s">
        <v>11</v>
      </c>
      <c r="E365" t="s">
        <v>325</v>
      </c>
      <c r="F365" t="s">
        <v>326</v>
      </c>
      <c r="G365">
        <v>77331</v>
      </c>
      <c r="H365">
        <v>2010</v>
      </c>
      <c r="I365" s="1">
        <v>696</v>
      </c>
      <c r="J365" s="1">
        <v>870</v>
      </c>
      <c r="K365" s="1">
        <v>696</v>
      </c>
    </row>
    <row r="366" spans="1:11" x14ac:dyDescent="0.35">
      <c r="A366">
        <v>730930</v>
      </c>
      <c r="B366">
        <v>1976821</v>
      </c>
      <c r="C366" t="str">
        <f>"COLDSPRING-OAKHURST CONS I S D"</f>
        <v>COLDSPRING-OAKHURST CONS I S D</v>
      </c>
      <c r="D366" t="s">
        <v>11</v>
      </c>
      <c r="E366" t="s">
        <v>325</v>
      </c>
      <c r="F366" t="s">
        <v>326</v>
      </c>
      <c r="G366">
        <v>77331</v>
      </c>
      <c r="H366">
        <v>2010</v>
      </c>
      <c r="I366" s="1">
        <v>2319.1999999999998</v>
      </c>
      <c r="J366" s="1">
        <v>2899</v>
      </c>
      <c r="K366" s="1">
        <v>2319.1999999999998</v>
      </c>
    </row>
    <row r="367" spans="1:11" x14ac:dyDescent="0.35">
      <c r="A367">
        <v>730728</v>
      </c>
      <c r="B367">
        <v>1976401</v>
      </c>
      <c r="C367" t="str">
        <f>"COLDSPRING-OAKHURST CONS I S D"</f>
        <v>COLDSPRING-OAKHURST CONS I S D</v>
      </c>
      <c r="D367" t="s">
        <v>11</v>
      </c>
      <c r="E367" t="s">
        <v>325</v>
      </c>
      <c r="F367" t="s">
        <v>326</v>
      </c>
      <c r="G367">
        <v>77331</v>
      </c>
      <c r="H367">
        <v>2010</v>
      </c>
      <c r="I367" s="1">
        <v>23492.83</v>
      </c>
      <c r="J367" s="1">
        <v>29366.04</v>
      </c>
      <c r="K367" s="1">
        <v>23492.83</v>
      </c>
    </row>
    <row r="368" spans="1:11" x14ac:dyDescent="0.35">
      <c r="A368">
        <v>730728</v>
      </c>
      <c r="B368">
        <v>1976301</v>
      </c>
      <c r="C368" t="str">
        <f>"COLDSPRING-OAKHURST CONS I S D"</f>
        <v>COLDSPRING-OAKHURST CONS I S D</v>
      </c>
      <c r="D368" t="s">
        <v>11</v>
      </c>
      <c r="E368" t="s">
        <v>325</v>
      </c>
      <c r="F368" t="s">
        <v>326</v>
      </c>
      <c r="G368">
        <v>77331</v>
      </c>
      <c r="H368">
        <v>2010</v>
      </c>
      <c r="I368" s="1">
        <v>6700.04</v>
      </c>
      <c r="J368" s="1">
        <v>8375.0499999999993</v>
      </c>
      <c r="K368" s="1">
        <v>6700.04</v>
      </c>
    </row>
    <row r="369" spans="1:11" x14ac:dyDescent="0.35">
      <c r="A369">
        <v>747935</v>
      </c>
      <c r="B369">
        <v>2019077</v>
      </c>
      <c r="C369" t="str">
        <f>"COLEMAN INDEP SCHOOL DISTRICT"</f>
        <v>COLEMAN INDEP SCHOOL DISTRICT</v>
      </c>
      <c r="D369" t="s">
        <v>11</v>
      </c>
      <c r="E369" t="s">
        <v>327</v>
      </c>
      <c r="F369" t="s">
        <v>328</v>
      </c>
      <c r="G369">
        <v>76834</v>
      </c>
      <c r="H369">
        <v>2010</v>
      </c>
      <c r="I369" s="1">
        <v>2592</v>
      </c>
      <c r="J369" s="1">
        <v>3240</v>
      </c>
      <c r="K369" s="1">
        <v>1400</v>
      </c>
    </row>
    <row r="370" spans="1:11" x14ac:dyDescent="0.35">
      <c r="A370">
        <v>747935</v>
      </c>
      <c r="B370">
        <v>2019305</v>
      </c>
      <c r="C370" t="str">
        <f>"COLEMAN INDEP SCHOOL DISTRICT"</f>
        <v>COLEMAN INDEP SCHOOL DISTRICT</v>
      </c>
      <c r="D370" t="s">
        <v>11</v>
      </c>
      <c r="E370" t="s">
        <v>327</v>
      </c>
      <c r="F370" t="s">
        <v>328</v>
      </c>
      <c r="G370">
        <v>76834</v>
      </c>
      <c r="H370">
        <v>2010</v>
      </c>
      <c r="I370" s="1">
        <v>4080</v>
      </c>
      <c r="J370" s="1">
        <v>5100</v>
      </c>
      <c r="K370" s="1">
        <v>4080</v>
      </c>
    </row>
    <row r="371" spans="1:11" x14ac:dyDescent="0.35">
      <c r="A371">
        <v>743171</v>
      </c>
      <c r="B371">
        <v>2018462</v>
      </c>
      <c r="C371" t="str">
        <f>"COLEMAN INDEP SCHOOL DISTRICT"</f>
        <v>COLEMAN INDEP SCHOOL DISTRICT</v>
      </c>
      <c r="D371" t="s">
        <v>11</v>
      </c>
      <c r="E371" t="s">
        <v>327</v>
      </c>
      <c r="F371" t="s">
        <v>328</v>
      </c>
      <c r="G371">
        <v>76834</v>
      </c>
      <c r="H371">
        <v>2010</v>
      </c>
      <c r="I371" s="1">
        <v>3006.72</v>
      </c>
      <c r="J371" s="1">
        <v>3758.4</v>
      </c>
      <c r="K371" s="1">
        <v>1731.98</v>
      </c>
    </row>
    <row r="372" spans="1:11" x14ac:dyDescent="0.35">
      <c r="A372">
        <v>762390</v>
      </c>
      <c r="B372">
        <v>2060018</v>
      </c>
      <c r="C372" t="str">
        <f>"COLLEGE STATION INDEP SCH DIST"</f>
        <v>COLLEGE STATION INDEP SCH DIST</v>
      </c>
      <c r="D372" t="s">
        <v>11</v>
      </c>
      <c r="E372" t="s">
        <v>329</v>
      </c>
      <c r="F372" t="s">
        <v>330</v>
      </c>
      <c r="G372">
        <v>77840</v>
      </c>
      <c r="H372">
        <v>2010</v>
      </c>
      <c r="I372" s="1">
        <v>22565.16</v>
      </c>
      <c r="J372" s="1">
        <v>39588</v>
      </c>
      <c r="K372" s="1">
        <v>22565.16</v>
      </c>
    </row>
    <row r="373" spans="1:11" x14ac:dyDescent="0.35">
      <c r="A373">
        <v>762390</v>
      </c>
      <c r="B373">
        <v>2060260</v>
      </c>
      <c r="C373" t="str">
        <f>"COLLEGE STATION INDEP SCH DIST"</f>
        <v>COLLEGE STATION INDEP SCH DIST</v>
      </c>
      <c r="D373" t="s">
        <v>11</v>
      </c>
      <c r="E373" t="s">
        <v>329</v>
      </c>
      <c r="F373" t="s">
        <v>330</v>
      </c>
      <c r="G373">
        <v>77840</v>
      </c>
      <c r="H373">
        <v>2010</v>
      </c>
      <c r="I373" s="1">
        <v>5335.2</v>
      </c>
      <c r="J373" s="1">
        <v>9360</v>
      </c>
      <c r="K373" s="1">
        <v>5335.2</v>
      </c>
    </row>
    <row r="374" spans="1:11" x14ac:dyDescent="0.35">
      <c r="A374">
        <v>726189</v>
      </c>
      <c r="B374">
        <v>1966206</v>
      </c>
      <c r="C374" t="str">
        <f>"COLLINSVILLE INDEP SCHOOL DIST"</f>
        <v>COLLINSVILLE INDEP SCHOOL DIST</v>
      </c>
      <c r="D374" t="s">
        <v>11</v>
      </c>
      <c r="E374" t="s">
        <v>331</v>
      </c>
      <c r="F374" t="s">
        <v>332</v>
      </c>
      <c r="G374">
        <v>76233</v>
      </c>
      <c r="H374">
        <v>2010</v>
      </c>
      <c r="I374" s="1">
        <v>124.88</v>
      </c>
      <c r="J374" s="1">
        <v>223</v>
      </c>
      <c r="K374" s="1">
        <v>124.88</v>
      </c>
    </row>
    <row r="375" spans="1:11" x14ac:dyDescent="0.35">
      <c r="A375">
        <v>727182</v>
      </c>
      <c r="B375">
        <v>1968299</v>
      </c>
      <c r="C375" t="str">
        <f>"COLUMBIA-BRAZORIA IND SCH DIST"</f>
        <v>COLUMBIA-BRAZORIA IND SCH DIST</v>
      </c>
      <c r="D375" t="s">
        <v>11</v>
      </c>
      <c r="E375" t="s">
        <v>333</v>
      </c>
      <c r="F375" t="s">
        <v>334</v>
      </c>
      <c r="G375">
        <v>77486</v>
      </c>
      <c r="H375">
        <v>2010</v>
      </c>
      <c r="I375" s="1">
        <v>22200</v>
      </c>
      <c r="J375" s="1">
        <v>30000</v>
      </c>
      <c r="K375" s="1">
        <v>22200</v>
      </c>
    </row>
    <row r="376" spans="1:11" x14ac:dyDescent="0.35">
      <c r="A376">
        <v>727182</v>
      </c>
      <c r="B376">
        <v>1968334</v>
      </c>
      <c r="C376" t="str">
        <f>"COLUMBIA-BRAZORIA IND SCH DIST"</f>
        <v>COLUMBIA-BRAZORIA IND SCH DIST</v>
      </c>
      <c r="D376" t="s">
        <v>11</v>
      </c>
      <c r="E376" t="s">
        <v>333</v>
      </c>
      <c r="F376" t="s">
        <v>334</v>
      </c>
      <c r="G376">
        <v>77486</v>
      </c>
      <c r="H376">
        <v>2010</v>
      </c>
      <c r="I376" s="1">
        <v>5779.06</v>
      </c>
      <c r="J376" s="1">
        <v>8645</v>
      </c>
      <c r="K376" s="1">
        <v>6397.3</v>
      </c>
    </row>
    <row r="377" spans="1:11" x14ac:dyDescent="0.35">
      <c r="A377">
        <v>731415</v>
      </c>
      <c r="B377">
        <v>1978584</v>
      </c>
      <c r="C377" t="str">
        <f>"COLUMBUS INDEP SCHOOL DISTRICT"</f>
        <v>COLUMBUS INDEP SCHOOL DISTRICT</v>
      </c>
      <c r="D377" t="s">
        <v>11</v>
      </c>
      <c r="E377" t="s">
        <v>335</v>
      </c>
      <c r="F377" t="s">
        <v>336</v>
      </c>
      <c r="G377">
        <v>78934</v>
      </c>
      <c r="H377">
        <v>2010</v>
      </c>
      <c r="I377" s="1">
        <v>0</v>
      </c>
      <c r="J377" s="1">
        <v>66984</v>
      </c>
      <c r="K377" s="1">
        <v>0</v>
      </c>
    </row>
    <row r="378" spans="1:11" x14ac:dyDescent="0.35">
      <c r="A378">
        <v>731415</v>
      </c>
      <c r="B378">
        <v>1978575</v>
      </c>
      <c r="C378" t="str">
        <f>"COLUMBUS INDEP SCHOOL DISTRICT"</f>
        <v>COLUMBUS INDEP SCHOOL DISTRICT</v>
      </c>
      <c r="D378" t="s">
        <v>11</v>
      </c>
      <c r="E378" t="s">
        <v>335</v>
      </c>
      <c r="F378" t="s">
        <v>336</v>
      </c>
      <c r="G378">
        <v>78934</v>
      </c>
      <c r="H378">
        <v>2010</v>
      </c>
      <c r="I378" s="1">
        <v>552.16</v>
      </c>
      <c r="J378" s="1">
        <v>746.16</v>
      </c>
      <c r="K378" s="1">
        <v>418.71</v>
      </c>
    </row>
    <row r="379" spans="1:11" x14ac:dyDescent="0.35">
      <c r="A379">
        <v>731415</v>
      </c>
      <c r="B379">
        <v>1978588</v>
      </c>
      <c r="C379" t="str">
        <f>"COLUMBUS INDEP SCHOOL DISTRICT"</f>
        <v>COLUMBUS INDEP SCHOOL DISTRICT</v>
      </c>
      <c r="D379" t="s">
        <v>11</v>
      </c>
      <c r="E379" t="s">
        <v>335</v>
      </c>
      <c r="F379" t="s">
        <v>336</v>
      </c>
      <c r="G379">
        <v>78934</v>
      </c>
      <c r="H379">
        <v>2010</v>
      </c>
      <c r="I379" s="1">
        <v>6660</v>
      </c>
      <c r="J379" s="1">
        <v>9000</v>
      </c>
      <c r="K379" s="1">
        <v>6068</v>
      </c>
    </row>
    <row r="380" spans="1:11" x14ac:dyDescent="0.35">
      <c r="A380">
        <v>737696</v>
      </c>
      <c r="B380">
        <v>2054548</v>
      </c>
      <c r="C380" t="str">
        <f>"COLUMBUS INDEP SCHOOL DISTRICT"</f>
        <v>COLUMBUS INDEP SCHOOL DISTRICT</v>
      </c>
      <c r="D380" t="s">
        <v>11</v>
      </c>
      <c r="E380" t="s">
        <v>335</v>
      </c>
      <c r="F380" t="s">
        <v>336</v>
      </c>
      <c r="G380">
        <v>78934</v>
      </c>
      <c r="H380">
        <v>2010</v>
      </c>
      <c r="I380" s="1">
        <v>1609.5</v>
      </c>
      <c r="J380" s="1">
        <v>2175</v>
      </c>
      <c r="K380" s="1">
        <v>1609.5</v>
      </c>
    </row>
    <row r="381" spans="1:11" x14ac:dyDescent="0.35">
      <c r="A381">
        <v>713302</v>
      </c>
      <c r="B381">
        <v>2041642</v>
      </c>
      <c r="C381" t="str">
        <f>"COMAL INDEP SCHOOL DISTRICT"</f>
        <v>COMAL INDEP SCHOOL DISTRICT</v>
      </c>
      <c r="D381" t="s">
        <v>11</v>
      </c>
      <c r="E381" t="s">
        <v>337</v>
      </c>
      <c r="F381" t="s">
        <v>338</v>
      </c>
      <c r="G381">
        <v>78130</v>
      </c>
      <c r="H381">
        <v>2010</v>
      </c>
      <c r="I381" s="1">
        <v>10764</v>
      </c>
      <c r="J381" s="1">
        <v>20700</v>
      </c>
      <c r="K381" s="1">
        <v>10764</v>
      </c>
    </row>
    <row r="382" spans="1:11" x14ac:dyDescent="0.35">
      <c r="A382">
        <v>713302</v>
      </c>
      <c r="B382">
        <v>2041623</v>
      </c>
      <c r="C382" t="str">
        <f>"COMAL INDEP SCHOOL DISTRICT"</f>
        <v>COMAL INDEP SCHOOL DISTRICT</v>
      </c>
      <c r="D382" t="s">
        <v>11</v>
      </c>
      <c r="E382" t="s">
        <v>337</v>
      </c>
      <c r="F382" t="s">
        <v>338</v>
      </c>
      <c r="G382">
        <v>78130</v>
      </c>
      <c r="H382">
        <v>2010</v>
      </c>
      <c r="I382" s="1">
        <v>3744</v>
      </c>
      <c r="J382" s="1">
        <v>10440</v>
      </c>
      <c r="K382" s="1">
        <v>3744</v>
      </c>
    </row>
    <row r="383" spans="1:11" x14ac:dyDescent="0.35">
      <c r="A383">
        <v>710765</v>
      </c>
      <c r="B383">
        <v>1939738</v>
      </c>
      <c r="C383" t="str">
        <f>"COMANCHE INDEP SCHOOL DISTRICT"</f>
        <v>COMANCHE INDEP SCHOOL DISTRICT</v>
      </c>
      <c r="D383" t="s">
        <v>11</v>
      </c>
      <c r="E383" t="s">
        <v>339</v>
      </c>
      <c r="F383" t="s">
        <v>340</v>
      </c>
      <c r="G383">
        <v>76442</v>
      </c>
      <c r="H383">
        <v>2010</v>
      </c>
      <c r="I383" s="1">
        <v>1100</v>
      </c>
      <c r="J383" s="1">
        <v>1375</v>
      </c>
      <c r="K383" s="1">
        <v>1100</v>
      </c>
    </row>
    <row r="384" spans="1:11" x14ac:dyDescent="0.35">
      <c r="A384">
        <v>749748</v>
      </c>
      <c r="B384">
        <v>2025650</v>
      </c>
      <c r="C384" t="str">
        <f>"COMFORT INDEP SCHOOL DISTRICT"</f>
        <v>COMFORT INDEP SCHOOL DISTRICT</v>
      </c>
      <c r="D384" t="s">
        <v>11</v>
      </c>
      <c r="E384" t="s">
        <v>341</v>
      </c>
      <c r="F384" t="s">
        <v>342</v>
      </c>
      <c r="G384">
        <v>78013</v>
      </c>
      <c r="H384">
        <v>2010</v>
      </c>
      <c r="I384" s="1">
        <v>2188.0300000000002</v>
      </c>
      <c r="J384" s="1">
        <v>2841.6</v>
      </c>
      <c r="K384" s="1">
        <v>2188.0300000000002</v>
      </c>
    </row>
    <row r="385" spans="1:11" x14ac:dyDescent="0.35">
      <c r="A385">
        <v>749748</v>
      </c>
      <c r="B385">
        <v>2025679</v>
      </c>
      <c r="C385" t="str">
        <f>"COMFORT INDEP SCHOOL DISTRICT"</f>
        <v>COMFORT INDEP SCHOOL DISTRICT</v>
      </c>
      <c r="D385" t="s">
        <v>11</v>
      </c>
      <c r="E385" t="s">
        <v>341</v>
      </c>
      <c r="F385" t="s">
        <v>342</v>
      </c>
      <c r="G385">
        <v>78013</v>
      </c>
      <c r="H385">
        <v>2010</v>
      </c>
      <c r="I385" s="1">
        <v>12279.96</v>
      </c>
      <c r="J385" s="1">
        <v>15948</v>
      </c>
      <c r="K385" s="1">
        <v>12279.96</v>
      </c>
    </row>
    <row r="386" spans="1:11" x14ac:dyDescent="0.35">
      <c r="A386">
        <v>749748</v>
      </c>
      <c r="B386">
        <v>2025658</v>
      </c>
      <c r="C386" t="str">
        <f>"COMFORT INDEP SCHOOL DISTRICT"</f>
        <v>COMFORT INDEP SCHOOL DISTRICT</v>
      </c>
      <c r="D386" t="s">
        <v>11</v>
      </c>
      <c r="E386" t="s">
        <v>341</v>
      </c>
      <c r="F386" t="s">
        <v>342</v>
      </c>
      <c r="G386">
        <v>78013</v>
      </c>
      <c r="H386">
        <v>2010</v>
      </c>
      <c r="I386" s="1">
        <v>15246</v>
      </c>
      <c r="J386" s="1">
        <v>19800</v>
      </c>
      <c r="K386" s="1">
        <v>15246</v>
      </c>
    </row>
    <row r="387" spans="1:11" x14ac:dyDescent="0.35">
      <c r="A387">
        <v>749748</v>
      </c>
      <c r="B387">
        <v>2025708</v>
      </c>
      <c r="C387" t="str">
        <f>"COMFORT INDEP SCHOOL DISTRICT"</f>
        <v>COMFORT INDEP SCHOOL DISTRICT</v>
      </c>
      <c r="D387" t="s">
        <v>11</v>
      </c>
      <c r="E387" t="s">
        <v>341</v>
      </c>
      <c r="F387" t="s">
        <v>342</v>
      </c>
      <c r="G387">
        <v>78013</v>
      </c>
      <c r="H387">
        <v>2010</v>
      </c>
      <c r="I387" s="1">
        <v>14344.92</v>
      </c>
      <c r="J387" s="1">
        <v>18629.759999999998</v>
      </c>
      <c r="K387" s="1">
        <v>13870.56</v>
      </c>
    </row>
    <row r="388" spans="1:11" x14ac:dyDescent="0.35">
      <c r="A388">
        <v>748740</v>
      </c>
      <c r="B388">
        <v>2023058</v>
      </c>
      <c r="C388" t="str">
        <f>"COMMERCE INDEP SCHOOL DISTRICT"</f>
        <v>COMMERCE INDEP SCHOOL DISTRICT</v>
      </c>
      <c r="D388" t="s">
        <v>11</v>
      </c>
      <c r="E388" t="s">
        <v>343</v>
      </c>
      <c r="F388" t="s">
        <v>344</v>
      </c>
      <c r="G388">
        <v>75429</v>
      </c>
      <c r="H388">
        <v>2010</v>
      </c>
      <c r="I388" s="1">
        <v>47728.32</v>
      </c>
      <c r="J388" s="1">
        <v>57504</v>
      </c>
      <c r="K388" s="1">
        <v>47728.32</v>
      </c>
    </row>
    <row r="389" spans="1:11" x14ac:dyDescent="0.35">
      <c r="A389">
        <v>720600</v>
      </c>
      <c r="B389">
        <v>1955034</v>
      </c>
      <c r="C389" t="str">
        <f>"COMMUNITY INDEP SCHOOL DIST"</f>
        <v>COMMUNITY INDEP SCHOOL DIST</v>
      </c>
      <c r="D389" t="s">
        <v>11</v>
      </c>
      <c r="E389" t="s">
        <v>345</v>
      </c>
      <c r="F389" t="s">
        <v>346</v>
      </c>
      <c r="G389">
        <v>75173</v>
      </c>
      <c r="H389">
        <v>2010</v>
      </c>
      <c r="I389" s="1">
        <v>9768</v>
      </c>
      <c r="J389" s="1">
        <v>17760</v>
      </c>
      <c r="K389" s="1">
        <v>6518.16</v>
      </c>
    </row>
    <row r="390" spans="1:11" x14ac:dyDescent="0.35">
      <c r="A390">
        <v>749330</v>
      </c>
      <c r="B390">
        <v>2024490</v>
      </c>
      <c r="C390" t="str">
        <f>"COMO-PICKTON INDEP SCHOOL DIST"</f>
        <v>COMO-PICKTON INDEP SCHOOL DIST</v>
      </c>
      <c r="D390" t="s">
        <v>11</v>
      </c>
      <c r="E390" t="s">
        <v>347</v>
      </c>
      <c r="F390" t="s">
        <v>348</v>
      </c>
      <c r="G390">
        <v>75431</v>
      </c>
      <c r="H390">
        <v>2010</v>
      </c>
      <c r="I390" s="1">
        <v>879.42</v>
      </c>
      <c r="J390" s="1">
        <v>1099.28</v>
      </c>
      <c r="K390" s="1">
        <v>879.42</v>
      </c>
    </row>
    <row r="391" spans="1:11" x14ac:dyDescent="0.35">
      <c r="A391">
        <v>730918</v>
      </c>
      <c r="B391">
        <v>1982003</v>
      </c>
      <c r="C391" t="str">
        <f>"CONNALLY INDEPENDENT SCHOOL DISTRICT"</f>
        <v>CONNALLY INDEPENDENT SCHOOL DISTRICT</v>
      </c>
      <c r="D391" t="s">
        <v>11</v>
      </c>
      <c r="E391" t="s">
        <v>349</v>
      </c>
      <c r="F391" t="s">
        <v>303</v>
      </c>
      <c r="G391">
        <v>76705</v>
      </c>
      <c r="H391">
        <v>2010</v>
      </c>
      <c r="I391" s="1">
        <v>1496.4</v>
      </c>
      <c r="J391" s="1">
        <v>1740</v>
      </c>
      <c r="K391" s="1">
        <v>478.57</v>
      </c>
    </row>
    <row r="392" spans="1:11" x14ac:dyDescent="0.35">
      <c r="A392">
        <v>730918</v>
      </c>
      <c r="B392">
        <v>1981971</v>
      </c>
      <c r="C392" t="str">
        <f>"CONNALLY INDEPENDENT SCHOOL DISTRICT"</f>
        <v>CONNALLY INDEPENDENT SCHOOL DISTRICT</v>
      </c>
      <c r="D392" t="s">
        <v>11</v>
      </c>
      <c r="E392" t="s">
        <v>349</v>
      </c>
      <c r="F392" t="s">
        <v>303</v>
      </c>
      <c r="G392">
        <v>76705</v>
      </c>
      <c r="H392">
        <v>2010</v>
      </c>
      <c r="I392" s="1">
        <v>18576</v>
      </c>
      <c r="J392" s="1">
        <v>21600</v>
      </c>
      <c r="K392" s="1">
        <v>17544</v>
      </c>
    </row>
    <row r="393" spans="1:11" x14ac:dyDescent="0.35">
      <c r="A393">
        <v>746652</v>
      </c>
      <c r="B393">
        <v>2015858</v>
      </c>
      <c r="C393" t="str">
        <f>"CONROE INDEP SCHOOL DISTRICT"</f>
        <v>CONROE INDEP SCHOOL DISTRICT</v>
      </c>
      <c r="D393" t="s">
        <v>11</v>
      </c>
      <c r="E393" t="s">
        <v>350</v>
      </c>
      <c r="F393" t="s">
        <v>351</v>
      </c>
      <c r="G393">
        <v>77304</v>
      </c>
      <c r="H393">
        <v>2010</v>
      </c>
      <c r="I393" s="1">
        <v>24780</v>
      </c>
      <c r="J393" s="1">
        <v>42000</v>
      </c>
      <c r="K393" s="1">
        <v>24780</v>
      </c>
    </row>
    <row r="394" spans="1:11" x14ac:dyDescent="0.35">
      <c r="A394">
        <v>719588</v>
      </c>
      <c r="B394">
        <v>1955927</v>
      </c>
      <c r="C394" t="str">
        <f>"COOLIDGE INDEP SCHOOL DISTRICT"</f>
        <v>COOLIDGE INDEP SCHOOL DISTRICT</v>
      </c>
      <c r="D394" t="s">
        <v>11</v>
      </c>
      <c r="E394" t="s">
        <v>352</v>
      </c>
      <c r="F394" t="s">
        <v>353</v>
      </c>
      <c r="G394">
        <v>76635</v>
      </c>
      <c r="H394">
        <v>2010</v>
      </c>
      <c r="I394" s="1">
        <v>2052</v>
      </c>
      <c r="J394" s="1">
        <v>2280</v>
      </c>
      <c r="K394" s="1">
        <v>1026</v>
      </c>
    </row>
    <row r="395" spans="1:11" x14ac:dyDescent="0.35">
      <c r="A395">
        <v>719588</v>
      </c>
      <c r="B395">
        <v>1955940</v>
      </c>
      <c r="C395" t="str">
        <f>"COOLIDGE INDEP SCHOOL DISTRICT"</f>
        <v>COOLIDGE INDEP SCHOOL DISTRICT</v>
      </c>
      <c r="D395" t="s">
        <v>11</v>
      </c>
      <c r="E395" t="s">
        <v>352</v>
      </c>
      <c r="F395" t="s">
        <v>353</v>
      </c>
      <c r="G395">
        <v>76635</v>
      </c>
      <c r="H395">
        <v>2010</v>
      </c>
      <c r="I395" s="1">
        <v>7020</v>
      </c>
      <c r="J395" s="1">
        <v>7800</v>
      </c>
      <c r="K395" s="1">
        <v>5850</v>
      </c>
    </row>
    <row r="396" spans="1:11" x14ac:dyDescent="0.35">
      <c r="A396">
        <v>720946</v>
      </c>
      <c r="B396">
        <v>1955980</v>
      </c>
      <c r="C396" t="str">
        <f>"COOLIDGE INDEP SCHOOL DISTRICT"</f>
        <v>COOLIDGE INDEP SCHOOL DISTRICT</v>
      </c>
      <c r="D396" t="s">
        <v>11</v>
      </c>
      <c r="E396" t="s">
        <v>352</v>
      </c>
      <c r="F396" t="s">
        <v>353</v>
      </c>
      <c r="G396">
        <v>76635</v>
      </c>
      <c r="H396">
        <v>2010</v>
      </c>
      <c r="I396" s="1">
        <v>10800</v>
      </c>
      <c r="J396" s="1">
        <v>12000</v>
      </c>
      <c r="K396" s="1">
        <v>9000</v>
      </c>
    </row>
    <row r="397" spans="1:11" x14ac:dyDescent="0.35">
      <c r="A397">
        <v>708346</v>
      </c>
      <c r="B397">
        <v>1991396</v>
      </c>
      <c r="C397" t="str">
        <f>"COPPERAS COVE SCHOOL DISTRICT"</f>
        <v>COPPERAS COVE SCHOOL DISTRICT</v>
      </c>
      <c r="D397" t="s">
        <v>11</v>
      </c>
      <c r="E397" t="s">
        <v>354</v>
      </c>
      <c r="F397" t="s">
        <v>355</v>
      </c>
      <c r="G397">
        <v>76522</v>
      </c>
      <c r="H397">
        <v>2010</v>
      </c>
      <c r="I397" s="1">
        <v>7877.1</v>
      </c>
      <c r="J397" s="1">
        <v>12705</v>
      </c>
      <c r="K397" s="1">
        <v>7877.1</v>
      </c>
    </row>
    <row r="398" spans="1:11" x14ac:dyDescent="0.35">
      <c r="A398">
        <v>708346</v>
      </c>
      <c r="B398">
        <v>1991384</v>
      </c>
      <c r="C398" t="str">
        <f>"COPPERAS COVE SCHOOL DISTRICT"</f>
        <v>COPPERAS COVE SCHOOL DISTRICT</v>
      </c>
      <c r="D398" t="s">
        <v>11</v>
      </c>
      <c r="E398" t="s">
        <v>354</v>
      </c>
      <c r="F398" t="s">
        <v>355</v>
      </c>
      <c r="G398">
        <v>76522</v>
      </c>
      <c r="H398">
        <v>2010</v>
      </c>
      <c r="I398" s="1">
        <v>46872</v>
      </c>
      <c r="J398" s="1">
        <v>75600</v>
      </c>
      <c r="K398" s="1">
        <v>30838.87</v>
      </c>
    </row>
    <row r="399" spans="1:11" x14ac:dyDescent="0.35">
      <c r="A399">
        <v>758269</v>
      </c>
      <c r="B399">
        <v>2049244</v>
      </c>
      <c r="C399" t="str">
        <f>"CORPUS CHRISTI INDEP SCH DIST"</f>
        <v>CORPUS CHRISTI INDEP SCH DIST</v>
      </c>
      <c r="D399" t="s">
        <v>11</v>
      </c>
      <c r="E399" t="s">
        <v>356</v>
      </c>
      <c r="F399" t="s">
        <v>232</v>
      </c>
      <c r="G399">
        <v>78401</v>
      </c>
      <c r="H399">
        <v>2010</v>
      </c>
      <c r="I399" s="1">
        <v>78530.399999999994</v>
      </c>
      <c r="J399" s="1">
        <v>100680</v>
      </c>
      <c r="K399" s="1">
        <v>78530.399999999994</v>
      </c>
    </row>
    <row r="400" spans="1:11" x14ac:dyDescent="0.35">
      <c r="A400">
        <v>758269</v>
      </c>
      <c r="B400">
        <v>2049245</v>
      </c>
      <c r="C400" t="str">
        <f>"CORPUS CHRISTI INDEP SCH DIST"</f>
        <v>CORPUS CHRISTI INDEP SCH DIST</v>
      </c>
      <c r="D400" t="s">
        <v>11</v>
      </c>
      <c r="E400" t="s">
        <v>356</v>
      </c>
      <c r="F400" t="s">
        <v>232</v>
      </c>
      <c r="G400">
        <v>78401</v>
      </c>
      <c r="H400">
        <v>2010</v>
      </c>
      <c r="I400" s="1">
        <v>3725.28</v>
      </c>
      <c r="J400" s="1">
        <v>4776</v>
      </c>
      <c r="K400" s="1">
        <v>3725.28</v>
      </c>
    </row>
    <row r="401" spans="1:11" x14ac:dyDescent="0.35">
      <c r="A401">
        <v>758269</v>
      </c>
      <c r="B401">
        <v>2049243</v>
      </c>
      <c r="C401" t="str">
        <f>"CORPUS CHRISTI INDEP SCH DIST"</f>
        <v>CORPUS CHRISTI INDEP SCH DIST</v>
      </c>
      <c r="D401" t="s">
        <v>11</v>
      </c>
      <c r="E401" t="s">
        <v>356</v>
      </c>
      <c r="F401" t="s">
        <v>232</v>
      </c>
      <c r="G401">
        <v>78401</v>
      </c>
      <c r="H401">
        <v>2010</v>
      </c>
      <c r="I401" s="1">
        <v>216044.71</v>
      </c>
      <c r="J401" s="1">
        <v>276980.40000000002</v>
      </c>
      <c r="K401" s="1">
        <v>216044.71</v>
      </c>
    </row>
    <row r="402" spans="1:11" x14ac:dyDescent="0.35">
      <c r="A402">
        <v>758269</v>
      </c>
      <c r="B402">
        <v>2049247</v>
      </c>
      <c r="C402" t="str">
        <f>"CORPUS CHRISTI INDEP SCH DIST"</f>
        <v>CORPUS CHRISTI INDEP SCH DIST</v>
      </c>
      <c r="D402" t="s">
        <v>11</v>
      </c>
      <c r="E402" t="s">
        <v>356</v>
      </c>
      <c r="F402" t="s">
        <v>232</v>
      </c>
      <c r="G402">
        <v>78401</v>
      </c>
      <c r="H402">
        <v>2010</v>
      </c>
      <c r="I402" s="1">
        <v>50310</v>
      </c>
      <c r="J402" s="1">
        <v>64500</v>
      </c>
      <c r="K402" s="1">
        <v>48778.87</v>
      </c>
    </row>
    <row r="403" spans="1:11" x14ac:dyDescent="0.35">
      <c r="A403">
        <v>766815</v>
      </c>
      <c r="B403">
        <v>2073121</v>
      </c>
      <c r="C403" t="str">
        <f>"CORRIGAN CAMDEN ISD"</f>
        <v>CORRIGAN CAMDEN ISD</v>
      </c>
      <c r="D403" t="s">
        <v>11</v>
      </c>
      <c r="E403" t="s">
        <v>357</v>
      </c>
      <c r="F403" t="s">
        <v>358</v>
      </c>
      <c r="G403">
        <v>75939</v>
      </c>
      <c r="H403">
        <v>2010</v>
      </c>
      <c r="I403" s="1">
        <v>4355.17</v>
      </c>
      <c r="J403" s="1">
        <v>5064.1499999999996</v>
      </c>
      <c r="K403" s="1">
        <v>4355.17</v>
      </c>
    </row>
    <row r="404" spans="1:11" x14ac:dyDescent="0.35">
      <c r="A404">
        <v>766815</v>
      </c>
      <c r="B404">
        <v>2073105</v>
      </c>
      <c r="C404" t="str">
        <f>"CORRIGAN CAMDEN ISD"</f>
        <v>CORRIGAN CAMDEN ISD</v>
      </c>
      <c r="D404" t="s">
        <v>11</v>
      </c>
      <c r="E404" t="s">
        <v>357</v>
      </c>
      <c r="F404" t="s">
        <v>358</v>
      </c>
      <c r="G404">
        <v>75939</v>
      </c>
      <c r="H404">
        <v>2010</v>
      </c>
      <c r="I404" s="1">
        <v>18278.47</v>
      </c>
      <c r="J404" s="1">
        <v>21254.04</v>
      </c>
      <c r="K404" s="1">
        <v>18278.47</v>
      </c>
    </row>
    <row r="405" spans="1:11" x14ac:dyDescent="0.35">
      <c r="A405">
        <v>723100</v>
      </c>
      <c r="B405">
        <v>1985967</v>
      </c>
      <c r="C405" t="str">
        <f>"CORSICANA INDEP SCHOOL DIST"</f>
        <v>CORSICANA INDEP SCHOOL DIST</v>
      </c>
      <c r="D405" t="s">
        <v>11</v>
      </c>
      <c r="E405" t="s">
        <v>359</v>
      </c>
      <c r="F405" t="s">
        <v>360</v>
      </c>
      <c r="G405">
        <v>75110</v>
      </c>
      <c r="H405">
        <v>2010</v>
      </c>
      <c r="I405" s="1">
        <v>9639</v>
      </c>
      <c r="J405" s="1">
        <v>11475</v>
      </c>
      <c r="K405" s="1">
        <v>9639</v>
      </c>
    </row>
    <row r="406" spans="1:11" x14ac:dyDescent="0.35">
      <c r="A406">
        <v>723100</v>
      </c>
      <c r="B406">
        <v>1985998</v>
      </c>
      <c r="C406" t="str">
        <f>"CORSICANA INDEP SCHOOL DIST"</f>
        <v>CORSICANA INDEP SCHOOL DIST</v>
      </c>
      <c r="D406" t="s">
        <v>11</v>
      </c>
      <c r="E406" t="s">
        <v>359</v>
      </c>
      <c r="F406" t="s">
        <v>360</v>
      </c>
      <c r="G406">
        <v>75110</v>
      </c>
      <c r="H406">
        <v>2010</v>
      </c>
      <c r="I406" s="1">
        <v>25201.61</v>
      </c>
      <c r="J406" s="1">
        <v>30001.919999999998</v>
      </c>
      <c r="K406" s="1">
        <v>25201.56</v>
      </c>
    </row>
    <row r="407" spans="1:11" x14ac:dyDescent="0.35">
      <c r="A407">
        <v>733903</v>
      </c>
      <c r="B407">
        <v>1984536</v>
      </c>
      <c r="C407" t="str">
        <f>"COTTON CENTER INDEP SCH DIST"</f>
        <v>COTTON CENTER INDEP SCH DIST</v>
      </c>
      <c r="D407" t="s">
        <v>11</v>
      </c>
      <c r="E407" t="s">
        <v>361</v>
      </c>
      <c r="F407" t="s">
        <v>362</v>
      </c>
      <c r="G407">
        <v>79021</v>
      </c>
      <c r="H407">
        <v>2010</v>
      </c>
      <c r="I407" s="1">
        <v>5520</v>
      </c>
      <c r="J407" s="1">
        <v>6900</v>
      </c>
      <c r="K407" s="1">
        <v>5520</v>
      </c>
    </row>
    <row r="408" spans="1:11" x14ac:dyDescent="0.35">
      <c r="A408">
        <v>733903</v>
      </c>
      <c r="B408">
        <v>1984537</v>
      </c>
      <c r="C408" t="str">
        <f>"COTTON CENTER INDEP SCH DIST"</f>
        <v>COTTON CENTER INDEP SCH DIST</v>
      </c>
      <c r="D408" t="s">
        <v>11</v>
      </c>
      <c r="E408" t="s">
        <v>361</v>
      </c>
      <c r="F408" t="s">
        <v>362</v>
      </c>
      <c r="G408">
        <v>79021</v>
      </c>
      <c r="H408">
        <v>2010</v>
      </c>
      <c r="I408" s="1">
        <v>684</v>
      </c>
      <c r="J408" s="1">
        <v>855</v>
      </c>
      <c r="K408" s="1">
        <v>684</v>
      </c>
    </row>
    <row r="409" spans="1:11" x14ac:dyDescent="0.35">
      <c r="A409">
        <v>752301</v>
      </c>
      <c r="B409">
        <v>2032861</v>
      </c>
      <c r="C409" t="str">
        <f>"COTULLA INDEP SCHOOL DISTRICT"</f>
        <v>COTULLA INDEP SCHOOL DISTRICT</v>
      </c>
      <c r="D409" t="s">
        <v>11</v>
      </c>
      <c r="E409" t="s">
        <v>363</v>
      </c>
      <c r="F409" t="s">
        <v>364</v>
      </c>
      <c r="G409">
        <v>78014</v>
      </c>
      <c r="H409">
        <v>2010</v>
      </c>
      <c r="I409" s="1">
        <v>19440</v>
      </c>
      <c r="J409" s="1">
        <v>21600</v>
      </c>
      <c r="K409" s="1">
        <v>19440</v>
      </c>
    </row>
    <row r="410" spans="1:11" x14ac:dyDescent="0.35">
      <c r="A410">
        <v>752301</v>
      </c>
      <c r="B410">
        <v>2033003</v>
      </c>
      <c r="C410" t="str">
        <f>"COTULLA INDEP SCHOOL DISTRICT"</f>
        <v>COTULLA INDEP SCHOOL DISTRICT</v>
      </c>
      <c r="D410" t="s">
        <v>11</v>
      </c>
      <c r="E410" t="s">
        <v>363</v>
      </c>
      <c r="F410" t="s">
        <v>364</v>
      </c>
      <c r="G410">
        <v>78014</v>
      </c>
      <c r="H410">
        <v>2010</v>
      </c>
      <c r="I410" s="1">
        <v>2160</v>
      </c>
      <c r="J410" s="1">
        <v>2400</v>
      </c>
      <c r="K410" s="1">
        <v>2160</v>
      </c>
    </row>
    <row r="411" spans="1:11" x14ac:dyDescent="0.35">
      <c r="A411">
        <v>752301</v>
      </c>
      <c r="B411">
        <v>2032968</v>
      </c>
      <c r="C411" t="str">
        <f>"COTULLA INDEP SCHOOL DISTRICT"</f>
        <v>COTULLA INDEP SCHOOL DISTRICT</v>
      </c>
      <c r="D411" t="s">
        <v>11</v>
      </c>
      <c r="E411" t="s">
        <v>363</v>
      </c>
      <c r="F411" t="s">
        <v>364</v>
      </c>
      <c r="G411">
        <v>78014</v>
      </c>
      <c r="H411">
        <v>2010</v>
      </c>
      <c r="I411" s="1">
        <v>6926.47</v>
      </c>
      <c r="J411" s="1">
        <v>7696.08</v>
      </c>
      <c r="K411" s="1">
        <v>6926.47</v>
      </c>
    </row>
    <row r="412" spans="1:11" x14ac:dyDescent="0.35">
      <c r="A412">
        <v>752301</v>
      </c>
      <c r="B412">
        <v>2032954</v>
      </c>
      <c r="C412" t="str">
        <f>"COTULLA INDEP SCHOOL DISTRICT"</f>
        <v>COTULLA INDEP SCHOOL DISTRICT</v>
      </c>
      <c r="D412" t="s">
        <v>11</v>
      </c>
      <c r="E412" t="s">
        <v>363</v>
      </c>
      <c r="F412" t="s">
        <v>364</v>
      </c>
      <c r="G412">
        <v>78014</v>
      </c>
      <c r="H412">
        <v>2010</v>
      </c>
      <c r="I412" s="1">
        <v>6713.28</v>
      </c>
      <c r="J412" s="1">
        <v>7459.2</v>
      </c>
      <c r="K412" s="1">
        <v>6713.28</v>
      </c>
    </row>
    <row r="413" spans="1:11" x14ac:dyDescent="0.35">
      <c r="A413">
        <v>721196</v>
      </c>
      <c r="B413">
        <v>1956482</v>
      </c>
      <c r="C413" t="str">
        <f>"COUPLAND INDEP SCHOOL DISTRICT"</f>
        <v>COUPLAND INDEP SCHOOL DISTRICT</v>
      </c>
      <c r="D413" t="s">
        <v>11</v>
      </c>
      <c r="E413" t="s">
        <v>365</v>
      </c>
      <c r="F413" t="s">
        <v>366</v>
      </c>
      <c r="G413">
        <v>78615</v>
      </c>
      <c r="H413">
        <v>2010</v>
      </c>
      <c r="I413" s="1">
        <v>6156</v>
      </c>
      <c r="J413" s="1">
        <v>10260</v>
      </c>
      <c r="K413" s="1">
        <v>6156</v>
      </c>
    </row>
    <row r="414" spans="1:11" x14ac:dyDescent="0.35">
      <c r="A414">
        <v>719433</v>
      </c>
      <c r="B414">
        <v>2016792</v>
      </c>
      <c r="C414" t="str">
        <f>"COVINGTON SCHOOL"</f>
        <v>COVINGTON SCHOOL</v>
      </c>
      <c r="D414" t="s">
        <v>11</v>
      </c>
      <c r="E414" t="s">
        <v>367</v>
      </c>
      <c r="F414" t="s">
        <v>368</v>
      </c>
      <c r="G414">
        <v>76636</v>
      </c>
      <c r="H414">
        <v>2010</v>
      </c>
      <c r="I414" s="1">
        <v>14910</v>
      </c>
      <c r="J414" s="1">
        <v>21300</v>
      </c>
      <c r="K414" s="1">
        <v>14910</v>
      </c>
    </row>
    <row r="415" spans="1:11" x14ac:dyDescent="0.35">
      <c r="A415">
        <v>719433</v>
      </c>
      <c r="B415">
        <v>2016902</v>
      </c>
      <c r="C415" t="str">
        <f>"COVINGTON SCHOOL"</f>
        <v>COVINGTON SCHOOL</v>
      </c>
      <c r="D415" t="s">
        <v>11</v>
      </c>
      <c r="E415" t="s">
        <v>367</v>
      </c>
      <c r="F415" t="s">
        <v>368</v>
      </c>
      <c r="G415">
        <v>76636</v>
      </c>
      <c r="H415">
        <v>2010</v>
      </c>
      <c r="I415" s="1">
        <v>1522.58</v>
      </c>
      <c r="J415" s="1">
        <v>2175.12</v>
      </c>
      <c r="K415" s="1">
        <v>1522.58</v>
      </c>
    </row>
    <row r="416" spans="1:11" x14ac:dyDescent="0.35">
      <c r="A416">
        <v>719433</v>
      </c>
      <c r="B416">
        <v>2016458</v>
      </c>
      <c r="C416" t="str">
        <f>"COVINGTON SCHOOL"</f>
        <v>COVINGTON SCHOOL</v>
      </c>
      <c r="D416" t="s">
        <v>11</v>
      </c>
      <c r="E416" t="s">
        <v>367</v>
      </c>
      <c r="F416" t="s">
        <v>368</v>
      </c>
      <c r="G416">
        <v>76636</v>
      </c>
      <c r="H416">
        <v>2010</v>
      </c>
      <c r="I416" s="1">
        <v>0</v>
      </c>
      <c r="J416" s="1">
        <v>0</v>
      </c>
    </row>
    <row r="417" spans="1:11" x14ac:dyDescent="0.35">
      <c r="A417">
        <v>744006</v>
      </c>
      <c r="B417">
        <v>2046744</v>
      </c>
      <c r="C417" t="str">
        <f>"CRANE INDEP SCHOOL DISTRICT"</f>
        <v>CRANE INDEP SCHOOL DISTRICT</v>
      </c>
      <c r="D417" t="s">
        <v>11</v>
      </c>
      <c r="E417" t="s">
        <v>369</v>
      </c>
      <c r="F417" t="s">
        <v>370</v>
      </c>
      <c r="G417">
        <v>79731</v>
      </c>
      <c r="H417">
        <v>2010</v>
      </c>
      <c r="I417" s="1">
        <v>8985.6</v>
      </c>
      <c r="J417" s="1">
        <v>12480</v>
      </c>
      <c r="K417" s="1">
        <v>5635.72</v>
      </c>
    </row>
    <row r="418" spans="1:11" x14ac:dyDescent="0.35">
      <c r="A418">
        <v>742252</v>
      </c>
      <c r="B418">
        <v>2053108</v>
      </c>
      <c r="C418" t="str">
        <f>"CRANFILLS GAP INDEP SCH DIST"</f>
        <v>CRANFILLS GAP INDEP SCH DIST</v>
      </c>
      <c r="D418" t="s">
        <v>11</v>
      </c>
      <c r="E418" t="s">
        <v>371</v>
      </c>
      <c r="F418" t="s">
        <v>372</v>
      </c>
      <c r="G418">
        <v>76637</v>
      </c>
      <c r="H418">
        <v>2010</v>
      </c>
      <c r="I418" s="1">
        <v>744.88</v>
      </c>
      <c r="J418" s="1">
        <v>827.64</v>
      </c>
      <c r="K418" s="1">
        <v>744.88</v>
      </c>
    </row>
    <row r="419" spans="1:11" x14ac:dyDescent="0.35">
      <c r="A419">
        <v>742252</v>
      </c>
      <c r="B419">
        <v>2046204</v>
      </c>
      <c r="C419" t="str">
        <f>"CRANFILLS GAP INDEP SCH DIST"</f>
        <v>CRANFILLS GAP INDEP SCH DIST</v>
      </c>
      <c r="D419" t="s">
        <v>11</v>
      </c>
      <c r="E419" t="s">
        <v>371</v>
      </c>
      <c r="F419" t="s">
        <v>372</v>
      </c>
      <c r="G419">
        <v>76637</v>
      </c>
      <c r="H419">
        <v>2010</v>
      </c>
      <c r="I419" s="1">
        <v>12582</v>
      </c>
      <c r="J419" s="1">
        <v>13980</v>
      </c>
      <c r="K419" s="1">
        <v>12582</v>
      </c>
    </row>
    <row r="420" spans="1:11" x14ac:dyDescent="0.35">
      <c r="A420">
        <v>743810</v>
      </c>
      <c r="B420">
        <v>2046327</v>
      </c>
      <c r="C420" t="str">
        <f>"CRAWFORD INDEP SCHOOL DISTRICT"</f>
        <v>CRAWFORD INDEP SCHOOL DISTRICT</v>
      </c>
      <c r="D420" t="s">
        <v>11</v>
      </c>
      <c r="E420" t="s">
        <v>373</v>
      </c>
      <c r="F420" t="s">
        <v>374</v>
      </c>
      <c r="G420">
        <v>76638</v>
      </c>
      <c r="H420">
        <v>2010</v>
      </c>
      <c r="I420" s="1">
        <v>4725</v>
      </c>
      <c r="J420" s="1">
        <v>10500</v>
      </c>
      <c r="K420" s="1">
        <v>4522.5</v>
      </c>
    </row>
    <row r="421" spans="1:11" x14ac:dyDescent="0.35">
      <c r="A421">
        <v>743810</v>
      </c>
      <c r="B421">
        <v>2046383</v>
      </c>
      <c r="C421" t="str">
        <f>"CRAWFORD INDEP SCHOOL DISTRICT"</f>
        <v>CRAWFORD INDEP SCHOOL DISTRICT</v>
      </c>
      <c r="D421" t="s">
        <v>11</v>
      </c>
      <c r="E421" t="s">
        <v>373</v>
      </c>
      <c r="F421" t="s">
        <v>374</v>
      </c>
      <c r="G421">
        <v>76638</v>
      </c>
      <c r="H421">
        <v>2010</v>
      </c>
      <c r="I421" s="1">
        <v>810</v>
      </c>
      <c r="J421" s="1">
        <v>1800</v>
      </c>
      <c r="K421" s="1">
        <v>810</v>
      </c>
    </row>
    <row r="422" spans="1:11" x14ac:dyDescent="0.35">
      <c r="A422">
        <v>718812</v>
      </c>
      <c r="B422">
        <v>1960045</v>
      </c>
      <c r="C422" t="str">
        <f>"CROCKETT COUNTY CCSD"</f>
        <v>CROCKETT COUNTY CCSD</v>
      </c>
      <c r="D422" t="s">
        <v>11</v>
      </c>
      <c r="E422" t="s">
        <v>375</v>
      </c>
      <c r="F422" t="s">
        <v>376</v>
      </c>
      <c r="G422">
        <v>76943</v>
      </c>
      <c r="H422">
        <v>2010</v>
      </c>
      <c r="I422" s="1">
        <v>3538.88</v>
      </c>
      <c r="J422" s="1">
        <v>4595.95</v>
      </c>
      <c r="K422" s="1">
        <v>3538.88</v>
      </c>
    </row>
    <row r="423" spans="1:11" x14ac:dyDescent="0.35">
      <c r="A423">
        <v>760424</v>
      </c>
      <c r="B423">
        <v>2054788</v>
      </c>
      <c r="C423" t="str">
        <f>"CROCKETT INDEP SCHOOL DISTRICT"</f>
        <v>CROCKETT INDEP SCHOOL DISTRICT</v>
      </c>
      <c r="D423" t="s">
        <v>11</v>
      </c>
      <c r="E423" t="s">
        <v>377</v>
      </c>
      <c r="F423" t="s">
        <v>378</v>
      </c>
      <c r="G423">
        <v>75835</v>
      </c>
      <c r="H423">
        <v>2010</v>
      </c>
      <c r="I423" s="1">
        <v>18713.7</v>
      </c>
      <c r="J423" s="1">
        <v>21510</v>
      </c>
      <c r="K423" s="1">
        <v>18713.7</v>
      </c>
    </row>
    <row r="424" spans="1:11" x14ac:dyDescent="0.35">
      <c r="A424">
        <v>760430</v>
      </c>
      <c r="B424">
        <v>2062067</v>
      </c>
      <c r="C424" t="str">
        <f>"CROCKETT INDEP SCHOOL DISTRICT"</f>
        <v>CROCKETT INDEP SCHOOL DISTRICT</v>
      </c>
      <c r="D424" t="s">
        <v>11</v>
      </c>
      <c r="E424" t="s">
        <v>377</v>
      </c>
      <c r="F424" t="s">
        <v>378</v>
      </c>
      <c r="G424">
        <v>75835</v>
      </c>
      <c r="H424">
        <v>2010</v>
      </c>
      <c r="I424" s="1">
        <v>7286.29</v>
      </c>
      <c r="J424" s="1">
        <v>8375.0499999999993</v>
      </c>
      <c r="K424" s="1">
        <v>7286.29</v>
      </c>
    </row>
    <row r="425" spans="1:11" x14ac:dyDescent="0.35">
      <c r="A425">
        <v>751602</v>
      </c>
      <c r="B425">
        <v>2061713</v>
      </c>
      <c r="C425" t="str">
        <f>"CROSBY INDEP SCHOOL DISTRICT"</f>
        <v>CROSBY INDEP SCHOOL DISTRICT</v>
      </c>
      <c r="D425" t="s">
        <v>11</v>
      </c>
      <c r="E425" t="s">
        <v>379</v>
      </c>
      <c r="F425" t="s">
        <v>380</v>
      </c>
      <c r="G425">
        <v>77532</v>
      </c>
      <c r="H425">
        <v>2010</v>
      </c>
      <c r="I425" s="1">
        <v>13872</v>
      </c>
      <c r="J425" s="1">
        <v>20400</v>
      </c>
      <c r="K425" s="1">
        <v>9832.66</v>
      </c>
    </row>
    <row r="426" spans="1:11" x14ac:dyDescent="0.35">
      <c r="A426">
        <v>751602</v>
      </c>
      <c r="B426">
        <v>2061580</v>
      </c>
      <c r="C426" t="str">
        <f>"CROSBY INDEP SCHOOL DISTRICT"</f>
        <v>CROSBY INDEP SCHOOL DISTRICT</v>
      </c>
      <c r="D426" t="s">
        <v>11</v>
      </c>
      <c r="E426" t="s">
        <v>379</v>
      </c>
      <c r="F426" t="s">
        <v>380</v>
      </c>
      <c r="G426">
        <v>77532</v>
      </c>
      <c r="H426">
        <v>2010</v>
      </c>
      <c r="I426" s="1">
        <v>27417.599999999999</v>
      </c>
      <c r="J426" s="1">
        <v>40320</v>
      </c>
      <c r="K426" s="1">
        <v>27417.599999999999</v>
      </c>
    </row>
    <row r="427" spans="1:11" x14ac:dyDescent="0.35">
      <c r="A427">
        <v>742866</v>
      </c>
      <c r="B427">
        <v>2007817</v>
      </c>
      <c r="C427" t="str">
        <f>"CROSBYTON CONSOL SCHOOL DIST"</f>
        <v>CROSBYTON CONSOL SCHOOL DIST</v>
      </c>
      <c r="D427" t="s">
        <v>11</v>
      </c>
      <c r="E427" t="s">
        <v>381</v>
      </c>
      <c r="F427" t="s">
        <v>382</v>
      </c>
      <c r="G427">
        <v>79322</v>
      </c>
      <c r="H427">
        <v>2010</v>
      </c>
      <c r="I427" s="1">
        <v>6003</v>
      </c>
      <c r="J427" s="1">
        <v>6900</v>
      </c>
      <c r="K427" s="1">
        <v>6003</v>
      </c>
    </row>
    <row r="428" spans="1:11" x14ac:dyDescent="0.35">
      <c r="A428">
        <v>721153</v>
      </c>
      <c r="B428">
        <v>1956351</v>
      </c>
      <c r="C428" t="str">
        <f>"CROSS PLAINS INDEP SCHOOL DIST"</f>
        <v>CROSS PLAINS INDEP SCHOOL DIST</v>
      </c>
      <c r="D428" t="s">
        <v>11</v>
      </c>
      <c r="E428" t="s">
        <v>383</v>
      </c>
      <c r="F428" t="s">
        <v>384</v>
      </c>
      <c r="G428">
        <v>76443</v>
      </c>
      <c r="H428">
        <v>2010</v>
      </c>
      <c r="I428" s="1">
        <v>894.4</v>
      </c>
      <c r="J428" s="1">
        <v>1040</v>
      </c>
      <c r="K428" s="1">
        <v>894.4</v>
      </c>
    </row>
    <row r="429" spans="1:11" x14ac:dyDescent="0.35">
      <c r="A429">
        <v>766813</v>
      </c>
      <c r="B429">
        <v>2073530</v>
      </c>
      <c r="C429" t="str">
        <f>"CROSS ROADS INDEP SCH DISTRICT"</f>
        <v>CROSS ROADS INDEP SCH DISTRICT</v>
      </c>
      <c r="D429" t="s">
        <v>11</v>
      </c>
      <c r="E429" t="s">
        <v>385</v>
      </c>
      <c r="F429" t="s">
        <v>386</v>
      </c>
      <c r="G429">
        <v>75148</v>
      </c>
      <c r="H429">
        <v>2010</v>
      </c>
      <c r="I429" s="1">
        <v>15963.84</v>
      </c>
      <c r="J429" s="1">
        <v>23136</v>
      </c>
      <c r="K429" s="1">
        <v>3036</v>
      </c>
    </row>
    <row r="430" spans="1:11" x14ac:dyDescent="0.35">
      <c r="A430">
        <v>731684</v>
      </c>
      <c r="B430">
        <v>1979035</v>
      </c>
      <c r="C430" t="str">
        <f>"CROSSTIMBERS ACADEMY CHARTER SCHOOL"</f>
        <v>CROSSTIMBERS ACADEMY CHARTER SCHOOL</v>
      </c>
      <c r="D430" t="s">
        <v>11</v>
      </c>
      <c r="E430" t="s">
        <v>387</v>
      </c>
      <c r="F430" t="s">
        <v>388</v>
      </c>
      <c r="G430">
        <v>76087</v>
      </c>
      <c r="H430">
        <v>2010</v>
      </c>
      <c r="I430" s="1">
        <v>6710.4</v>
      </c>
      <c r="J430" s="1">
        <v>8388</v>
      </c>
      <c r="K430" s="1">
        <v>6710.4</v>
      </c>
    </row>
    <row r="431" spans="1:11" x14ac:dyDescent="0.35">
      <c r="A431">
        <v>739632</v>
      </c>
      <c r="B431">
        <v>2020616</v>
      </c>
      <c r="C431" t="str">
        <f>"CROWELL INDEP SCHOOL DISTRICT"</f>
        <v>CROWELL INDEP SCHOOL DISTRICT</v>
      </c>
      <c r="D431" t="s">
        <v>11</v>
      </c>
      <c r="E431" t="s">
        <v>389</v>
      </c>
      <c r="F431" t="s">
        <v>390</v>
      </c>
      <c r="G431">
        <v>79227</v>
      </c>
      <c r="H431">
        <v>2010</v>
      </c>
      <c r="I431" s="1">
        <v>663.48</v>
      </c>
      <c r="J431" s="1">
        <v>829.35</v>
      </c>
      <c r="K431" s="1">
        <v>663.48</v>
      </c>
    </row>
    <row r="432" spans="1:11" x14ac:dyDescent="0.35">
      <c r="A432">
        <v>739632</v>
      </c>
      <c r="B432">
        <v>2020572</v>
      </c>
      <c r="C432" t="str">
        <f>"CROWELL INDEP SCHOOL DISTRICT"</f>
        <v>CROWELL INDEP SCHOOL DISTRICT</v>
      </c>
      <c r="D432" t="s">
        <v>11</v>
      </c>
      <c r="E432" t="s">
        <v>389</v>
      </c>
      <c r="F432" t="s">
        <v>390</v>
      </c>
      <c r="G432">
        <v>79227</v>
      </c>
      <c r="H432">
        <v>2010</v>
      </c>
      <c r="I432" s="1">
        <v>6632.64</v>
      </c>
      <c r="J432" s="1">
        <v>8290.7999999999993</v>
      </c>
      <c r="K432" s="1">
        <v>6632.64</v>
      </c>
    </row>
    <row r="433" spans="1:11" x14ac:dyDescent="0.35">
      <c r="A433">
        <v>746178</v>
      </c>
      <c r="B433">
        <v>2014011</v>
      </c>
      <c r="C433" t="str">
        <f>"CROWLEY INDEP SCHOOL DISTRICT"</f>
        <v>CROWLEY INDEP SCHOOL DISTRICT</v>
      </c>
      <c r="D433" t="s">
        <v>11</v>
      </c>
      <c r="E433" t="s">
        <v>391</v>
      </c>
      <c r="F433" t="s">
        <v>392</v>
      </c>
      <c r="G433">
        <v>76036</v>
      </c>
      <c r="H433">
        <v>2010</v>
      </c>
      <c r="I433" s="1">
        <v>46512</v>
      </c>
      <c r="J433" s="1">
        <v>68400</v>
      </c>
      <c r="K433" s="1">
        <v>42883.91</v>
      </c>
    </row>
    <row r="434" spans="1:11" x14ac:dyDescent="0.35">
      <c r="A434">
        <v>746178</v>
      </c>
      <c r="B434">
        <v>2014030</v>
      </c>
      <c r="C434" t="str">
        <f>"CROWLEY INDEP SCHOOL DISTRICT"</f>
        <v>CROWLEY INDEP SCHOOL DISTRICT</v>
      </c>
      <c r="D434" t="s">
        <v>11</v>
      </c>
      <c r="E434" t="s">
        <v>391</v>
      </c>
      <c r="F434" t="s">
        <v>392</v>
      </c>
      <c r="G434">
        <v>76036</v>
      </c>
      <c r="H434">
        <v>2010</v>
      </c>
      <c r="I434" s="1">
        <v>2711.64</v>
      </c>
      <c r="J434" s="1">
        <v>3987.7</v>
      </c>
      <c r="K434" s="1">
        <v>2711.64</v>
      </c>
    </row>
    <row r="435" spans="1:11" x14ac:dyDescent="0.35">
      <c r="A435">
        <v>746178</v>
      </c>
      <c r="B435">
        <v>2014015</v>
      </c>
      <c r="C435" t="str">
        <f>"CROWLEY INDEP SCHOOL DISTRICT"</f>
        <v>CROWLEY INDEP SCHOOL DISTRICT</v>
      </c>
      <c r="D435" t="s">
        <v>11</v>
      </c>
      <c r="E435" t="s">
        <v>391</v>
      </c>
      <c r="F435" t="s">
        <v>392</v>
      </c>
      <c r="G435">
        <v>76036</v>
      </c>
      <c r="H435">
        <v>2010</v>
      </c>
      <c r="I435" s="1">
        <v>19779.84</v>
      </c>
      <c r="J435" s="1">
        <v>29088</v>
      </c>
      <c r="K435" s="1">
        <v>14834.88</v>
      </c>
    </row>
    <row r="436" spans="1:11" x14ac:dyDescent="0.35">
      <c r="A436">
        <v>725789</v>
      </c>
      <c r="B436">
        <v>1979298</v>
      </c>
      <c r="C436" t="str">
        <f>"CRYSTAL CITY SCHOOL DISTRICT"</f>
        <v>CRYSTAL CITY SCHOOL DISTRICT</v>
      </c>
      <c r="D436" t="s">
        <v>11</v>
      </c>
      <c r="E436" t="s">
        <v>393</v>
      </c>
      <c r="F436" t="s">
        <v>394</v>
      </c>
      <c r="G436">
        <v>78839</v>
      </c>
      <c r="H436">
        <v>2010</v>
      </c>
      <c r="I436" s="1">
        <v>57801.06</v>
      </c>
      <c r="J436" s="1">
        <v>64223.4</v>
      </c>
      <c r="K436" s="1">
        <v>41925.06</v>
      </c>
    </row>
    <row r="437" spans="1:11" x14ac:dyDescent="0.35">
      <c r="A437">
        <v>725789</v>
      </c>
      <c r="B437">
        <v>1989985</v>
      </c>
      <c r="C437" t="str">
        <f>"CRYSTAL CITY SCHOOL DISTRICT"</f>
        <v>CRYSTAL CITY SCHOOL DISTRICT</v>
      </c>
      <c r="D437" t="s">
        <v>11</v>
      </c>
      <c r="E437" t="s">
        <v>393</v>
      </c>
      <c r="F437" t="s">
        <v>394</v>
      </c>
      <c r="G437">
        <v>78839</v>
      </c>
      <c r="H437">
        <v>2010</v>
      </c>
      <c r="I437" s="1">
        <v>5546.56</v>
      </c>
      <c r="J437" s="1">
        <v>6162.84</v>
      </c>
    </row>
    <row r="438" spans="1:11" x14ac:dyDescent="0.35">
      <c r="A438">
        <v>719381</v>
      </c>
      <c r="B438">
        <v>1953597</v>
      </c>
      <c r="C438" t="str">
        <f>"CUERO INDEP SCHOOL DISTRICT"</f>
        <v>CUERO INDEP SCHOOL DISTRICT</v>
      </c>
      <c r="D438" t="s">
        <v>11</v>
      </c>
      <c r="E438" t="s">
        <v>395</v>
      </c>
      <c r="F438" t="s">
        <v>396</v>
      </c>
      <c r="G438">
        <v>77954</v>
      </c>
      <c r="H438">
        <v>2010</v>
      </c>
      <c r="I438" s="1">
        <v>28440</v>
      </c>
      <c r="J438" s="1">
        <v>36000</v>
      </c>
      <c r="K438" s="1">
        <v>20674</v>
      </c>
    </row>
    <row r="439" spans="1:11" x14ac:dyDescent="0.35">
      <c r="A439">
        <v>760435</v>
      </c>
      <c r="B439">
        <v>2054820</v>
      </c>
      <c r="C439" t="str">
        <f>"CUSHING INDEP SCHOOL DISTRICT"</f>
        <v>CUSHING INDEP SCHOOL DISTRICT</v>
      </c>
      <c r="D439" t="s">
        <v>11</v>
      </c>
      <c r="E439" t="s">
        <v>397</v>
      </c>
      <c r="F439" t="s">
        <v>398</v>
      </c>
      <c r="G439">
        <v>75760</v>
      </c>
      <c r="H439">
        <v>2010</v>
      </c>
      <c r="I439" s="1">
        <v>0</v>
      </c>
      <c r="J439" s="1">
        <v>0</v>
      </c>
      <c r="K439" s="1">
        <v>0</v>
      </c>
    </row>
    <row r="440" spans="1:11" x14ac:dyDescent="0.35">
      <c r="A440">
        <v>749455</v>
      </c>
      <c r="B440">
        <v>2024914</v>
      </c>
      <c r="C440" t="str">
        <f>"CUSHING INDEP SCHOOL DISTRICT"</f>
        <v>CUSHING INDEP SCHOOL DISTRICT</v>
      </c>
      <c r="D440" t="s">
        <v>11</v>
      </c>
      <c r="E440" t="s">
        <v>397</v>
      </c>
      <c r="F440" t="s">
        <v>398</v>
      </c>
      <c r="G440">
        <v>75760</v>
      </c>
      <c r="H440">
        <v>2010</v>
      </c>
      <c r="I440" s="1">
        <v>2100</v>
      </c>
      <c r="J440" s="1">
        <v>3000</v>
      </c>
      <c r="K440" s="1">
        <v>2100</v>
      </c>
    </row>
    <row r="441" spans="1:11" x14ac:dyDescent="0.35">
      <c r="A441">
        <v>759708</v>
      </c>
      <c r="B441">
        <v>2052254</v>
      </c>
      <c r="C441" t="str">
        <f>"CUSHING INDEP SCHOOL DISTRICT"</f>
        <v>CUSHING INDEP SCHOOL DISTRICT</v>
      </c>
      <c r="D441" t="s">
        <v>11</v>
      </c>
      <c r="E441" t="s">
        <v>397</v>
      </c>
      <c r="F441" t="s">
        <v>398</v>
      </c>
      <c r="G441">
        <v>75760</v>
      </c>
      <c r="H441">
        <v>2010</v>
      </c>
      <c r="I441" s="1">
        <v>1680</v>
      </c>
      <c r="J441" s="1">
        <v>2400</v>
      </c>
      <c r="K441" s="1">
        <v>1680</v>
      </c>
    </row>
    <row r="442" spans="1:11" x14ac:dyDescent="0.35">
      <c r="A442">
        <v>748193</v>
      </c>
      <c r="B442">
        <v>2020135</v>
      </c>
      <c r="C442" t="str">
        <f>"CYPRESS-FAIRBANKS ISD"</f>
        <v>CYPRESS-FAIRBANKS ISD</v>
      </c>
      <c r="D442" t="s">
        <v>11</v>
      </c>
      <c r="E442" t="s">
        <v>399</v>
      </c>
      <c r="F442" t="s">
        <v>29</v>
      </c>
      <c r="G442">
        <v>77065</v>
      </c>
      <c r="H442">
        <v>2010</v>
      </c>
      <c r="I442" s="1">
        <v>26880</v>
      </c>
      <c r="J442" s="1">
        <v>42000</v>
      </c>
      <c r="K442" s="1">
        <v>26880</v>
      </c>
    </row>
    <row r="443" spans="1:11" x14ac:dyDescent="0.35">
      <c r="A443">
        <v>719063</v>
      </c>
      <c r="B443">
        <v>1976066</v>
      </c>
      <c r="C443" t="str">
        <f>"D'HANIS INDEP SCHOOL DISTRICT"</f>
        <v>D'HANIS INDEP SCHOOL DISTRICT</v>
      </c>
      <c r="D443" t="s">
        <v>11</v>
      </c>
      <c r="E443" t="s">
        <v>400</v>
      </c>
      <c r="F443" t="s">
        <v>401</v>
      </c>
      <c r="G443">
        <v>78850</v>
      </c>
      <c r="H443">
        <v>2010</v>
      </c>
      <c r="I443" s="1">
        <v>7027.97</v>
      </c>
      <c r="J443" s="1">
        <v>8784.9599999999991</v>
      </c>
      <c r="K443" s="1">
        <v>7027.97</v>
      </c>
    </row>
    <row r="444" spans="1:11" x14ac:dyDescent="0.35">
      <c r="A444">
        <v>719063</v>
      </c>
      <c r="B444">
        <v>1976101</v>
      </c>
      <c r="C444" t="str">
        <f>"D'HANIS INDEP SCHOOL DISTRICT"</f>
        <v>D'HANIS INDEP SCHOOL DISTRICT</v>
      </c>
      <c r="D444" t="s">
        <v>11</v>
      </c>
      <c r="E444" t="s">
        <v>400</v>
      </c>
      <c r="F444" t="s">
        <v>401</v>
      </c>
      <c r="G444">
        <v>78850</v>
      </c>
      <c r="H444">
        <v>2010</v>
      </c>
      <c r="I444" s="1">
        <v>940.03</v>
      </c>
      <c r="J444" s="1">
        <v>1175.04</v>
      </c>
      <c r="K444" s="1">
        <v>916.66</v>
      </c>
    </row>
    <row r="445" spans="1:11" x14ac:dyDescent="0.35">
      <c r="A445">
        <v>719063</v>
      </c>
      <c r="B445">
        <v>1976095</v>
      </c>
      <c r="C445" t="str">
        <f>"D'HANIS INDEP SCHOOL DISTRICT"</f>
        <v>D'HANIS INDEP SCHOOL DISTRICT</v>
      </c>
      <c r="D445" t="s">
        <v>11</v>
      </c>
      <c r="E445" t="s">
        <v>400</v>
      </c>
      <c r="F445" t="s">
        <v>401</v>
      </c>
      <c r="G445">
        <v>78850</v>
      </c>
      <c r="H445">
        <v>2010</v>
      </c>
      <c r="I445" s="1">
        <v>879.46</v>
      </c>
      <c r="J445" s="1">
        <v>1099.32</v>
      </c>
      <c r="K445" s="1">
        <v>805.06</v>
      </c>
    </row>
    <row r="446" spans="1:11" x14ac:dyDescent="0.35">
      <c r="A446">
        <v>719063</v>
      </c>
      <c r="B446">
        <v>1976076</v>
      </c>
      <c r="C446" t="str">
        <f>"D'HANIS INDEP SCHOOL DISTRICT"</f>
        <v>D'HANIS INDEP SCHOOL DISTRICT</v>
      </c>
      <c r="D446" t="s">
        <v>11</v>
      </c>
      <c r="E446" t="s">
        <v>400</v>
      </c>
      <c r="F446" t="s">
        <v>401</v>
      </c>
      <c r="G446">
        <v>78850</v>
      </c>
      <c r="H446">
        <v>2010</v>
      </c>
      <c r="I446" s="1">
        <v>1920</v>
      </c>
      <c r="J446" s="1">
        <v>2400</v>
      </c>
      <c r="K446" s="1">
        <v>1920</v>
      </c>
    </row>
    <row r="447" spans="1:11" x14ac:dyDescent="0.35">
      <c r="A447">
        <v>746482</v>
      </c>
      <c r="B447">
        <v>2015238</v>
      </c>
      <c r="C447" t="str">
        <f>"DAINGERFIELD LONE STAR IND S D"</f>
        <v>DAINGERFIELD LONE STAR IND S D</v>
      </c>
      <c r="D447" t="s">
        <v>11</v>
      </c>
      <c r="E447" t="s">
        <v>402</v>
      </c>
      <c r="F447" t="s">
        <v>403</v>
      </c>
      <c r="G447">
        <v>75638</v>
      </c>
      <c r="H447">
        <v>2010</v>
      </c>
      <c r="I447" s="1">
        <v>3402.55</v>
      </c>
      <c r="J447" s="1">
        <v>4878</v>
      </c>
      <c r="K447" s="1">
        <v>3402.55</v>
      </c>
    </row>
    <row r="448" spans="1:11" x14ac:dyDescent="0.35">
      <c r="A448">
        <v>759383</v>
      </c>
      <c r="B448">
        <v>2051272</v>
      </c>
      <c r="C448" t="str">
        <f>"DALHART INDEP SCHOOL DISTRICT"</f>
        <v>DALHART INDEP SCHOOL DISTRICT</v>
      </c>
      <c r="D448" t="s">
        <v>11</v>
      </c>
      <c r="E448" t="s">
        <v>404</v>
      </c>
      <c r="F448" t="s">
        <v>405</v>
      </c>
      <c r="G448">
        <v>79022</v>
      </c>
      <c r="H448">
        <v>2010</v>
      </c>
      <c r="I448" s="1">
        <v>4389</v>
      </c>
      <c r="J448" s="1">
        <v>5700</v>
      </c>
      <c r="K448" s="1">
        <v>4023.25</v>
      </c>
    </row>
    <row r="449" spans="1:11" x14ac:dyDescent="0.35">
      <c r="A449">
        <v>757058</v>
      </c>
      <c r="B449">
        <v>2045777</v>
      </c>
      <c r="C449" t="str">
        <f>"DALHART INDEP SCHOOL DISTRICT"</f>
        <v>DALHART INDEP SCHOOL DISTRICT</v>
      </c>
      <c r="D449" t="s">
        <v>11</v>
      </c>
      <c r="E449" t="s">
        <v>404</v>
      </c>
      <c r="F449" t="s">
        <v>405</v>
      </c>
      <c r="G449">
        <v>79022</v>
      </c>
      <c r="H449">
        <v>2010</v>
      </c>
      <c r="I449" s="1">
        <v>17710.03</v>
      </c>
      <c r="J449" s="1">
        <v>23000.04</v>
      </c>
      <c r="K449" s="1">
        <v>17432.8</v>
      </c>
    </row>
    <row r="450" spans="1:11" x14ac:dyDescent="0.35">
      <c r="A450">
        <v>749321</v>
      </c>
      <c r="B450">
        <v>2024296</v>
      </c>
      <c r="C450" t="str">
        <f>"DALHART INDEP SCHOOL DISTRICT"</f>
        <v>DALHART INDEP SCHOOL DISTRICT</v>
      </c>
      <c r="D450" t="s">
        <v>11</v>
      </c>
      <c r="E450" t="s">
        <v>404</v>
      </c>
      <c r="F450" t="s">
        <v>405</v>
      </c>
      <c r="G450">
        <v>79022</v>
      </c>
      <c r="H450">
        <v>2010</v>
      </c>
      <c r="I450" s="1">
        <v>5698.03</v>
      </c>
      <c r="J450" s="1">
        <v>7400.04</v>
      </c>
      <c r="K450" s="1">
        <v>5698</v>
      </c>
    </row>
    <row r="451" spans="1:11" x14ac:dyDescent="0.35">
      <c r="A451">
        <v>766356</v>
      </c>
      <c r="B451">
        <v>2073455</v>
      </c>
      <c r="C451" t="str">
        <f>"DALLAS INDEP SCHOOL DISTRICT"</f>
        <v>DALLAS INDEP SCHOOL DISTRICT</v>
      </c>
      <c r="D451" t="s">
        <v>11</v>
      </c>
      <c r="E451" t="s">
        <v>406</v>
      </c>
      <c r="F451" t="s">
        <v>13</v>
      </c>
      <c r="G451">
        <v>75204</v>
      </c>
      <c r="H451">
        <v>2010</v>
      </c>
      <c r="I451" s="1">
        <v>415328.4</v>
      </c>
      <c r="J451" s="1">
        <v>482940</v>
      </c>
      <c r="K451" s="1">
        <v>408284.05</v>
      </c>
    </row>
    <row r="452" spans="1:11" x14ac:dyDescent="0.35">
      <c r="A452">
        <v>749848</v>
      </c>
      <c r="B452">
        <v>2026105</v>
      </c>
      <c r="C452" t="str">
        <f>"DAMON INDEP SCHOOL DISTRICT"</f>
        <v>DAMON INDEP SCHOOL DISTRICT</v>
      </c>
      <c r="D452" t="s">
        <v>11</v>
      </c>
      <c r="E452" t="s">
        <v>407</v>
      </c>
      <c r="F452" t="s">
        <v>408</v>
      </c>
      <c r="G452">
        <v>77430</v>
      </c>
      <c r="H452">
        <v>2010</v>
      </c>
      <c r="I452" s="1">
        <v>6684.55</v>
      </c>
      <c r="J452" s="1">
        <v>7427.28</v>
      </c>
      <c r="K452" s="1">
        <v>6684.55</v>
      </c>
    </row>
    <row r="453" spans="1:11" x14ac:dyDescent="0.35">
      <c r="A453">
        <v>749848</v>
      </c>
      <c r="B453">
        <v>2026202</v>
      </c>
      <c r="C453" t="str">
        <f>"DAMON INDEP SCHOOL DISTRICT"</f>
        <v>DAMON INDEP SCHOOL DISTRICT</v>
      </c>
      <c r="D453" t="s">
        <v>11</v>
      </c>
      <c r="E453" t="s">
        <v>407</v>
      </c>
      <c r="F453" t="s">
        <v>408</v>
      </c>
      <c r="G453">
        <v>77430</v>
      </c>
      <c r="H453">
        <v>2010</v>
      </c>
      <c r="I453" s="1">
        <v>1468.8</v>
      </c>
      <c r="J453" s="1">
        <v>1632</v>
      </c>
      <c r="K453" s="1">
        <v>1468.8</v>
      </c>
    </row>
    <row r="454" spans="1:11" x14ac:dyDescent="0.35">
      <c r="A454">
        <v>718743</v>
      </c>
      <c r="B454">
        <v>1954506</v>
      </c>
      <c r="C454" t="str">
        <f>"DANBURY INDEP SCHOOL DISTRICT"</f>
        <v>DANBURY INDEP SCHOOL DISTRICT</v>
      </c>
      <c r="D454" t="s">
        <v>11</v>
      </c>
      <c r="E454" t="s">
        <v>409</v>
      </c>
      <c r="F454" t="s">
        <v>410</v>
      </c>
      <c r="G454">
        <v>77534</v>
      </c>
      <c r="H454">
        <v>2010</v>
      </c>
      <c r="I454" s="1">
        <v>7587.36</v>
      </c>
      <c r="J454" s="1">
        <v>11496</v>
      </c>
      <c r="K454" s="1">
        <v>7584.96</v>
      </c>
    </row>
    <row r="455" spans="1:11" x14ac:dyDescent="0.35">
      <c r="A455">
        <v>724426</v>
      </c>
      <c r="B455">
        <v>2055493</v>
      </c>
      <c r="C455" t="str">
        <f>"DAWSON INDEP SCHOOL DISTRICT"</f>
        <v>DAWSON INDEP SCHOOL DISTRICT</v>
      </c>
      <c r="D455" t="s">
        <v>11</v>
      </c>
      <c r="E455" t="s">
        <v>411</v>
      </c>
      <c r="F455" t="s">
        <v>412</v>
      </c>
      <c r="G455">
        <v>76639</v>
      </c>
      <c r="H455">
        <v>2010</v>
      </c>
      <c r="I455" s="1">
        <v>18240</v>
      </c>
      <c r="J455" s="1">
        <v>22800</v>
      </c>
      <c r="K455" s="1">
        <v>18240</v>
      </c>
    </row>
    <row r="456" spans="1:11" x14ac:dyDescent="0.35">
      <c r="A456">
        <v>737382</v>
      </c>
      <c r="B456">
        <v>1996609</v>
      </c>
      <c r="C456" t="str">
        <f>"DAWSON INDEP SCHOOL DISTRICT"</f>
        <v>DAWSON INDEP SCHOOL DISTRICT</v>
      </c>
      <c r="D456" t="s">
        <v>11</v>
      </c>
      <c r="E456" t="s">
        <v>413</v>
      </c>
      <c r="F456" t="s">
        <v>414</v>
      </c>
      <c r="G456">
        <v>79377</v>
      </c>
      <c r="H456">
        <v>2010</v>
      </c>
      <c r="I456" s="1">
        <v>5625</v>
      </c>
      <c r="J456" s="1">
        <v>7500</v>
      </c>
      <c r="K456" s="1">
        <v>5475</v>
      </c>
    </row>
    <row r="457" spans="1:11" x14ac:dyDescent="0.35">
      <c r="A457">
        <v>737382</v>
      </c>
      <c r="B457">
        <v>1996630</v>
      </c>
      <c r="C457" t="str">
        <f>"DAWSON INDEP SCHOOL DISTRICT"</f>
        <v>DAWSON INDEP SCHOOL DISTRICT</v>
      </c>
      <c r="D457" t="s">
        <v>11</v>
      </c>
      <c r="E457" t="s">
        <v>413</v>
      </c>
      <c r="F457" t="s">
        <v>414</v>
      </c>
      <c r="G457">
        <v>79377</v>
      </c>
      <c r="H457">
        <v>2010</v>
      </c>
      <c r="I457" s="1">
        <v>10947.78</v>
      </c>
      <c r="J457" s="1">
        <v>14597.04</v>
      </c>
      <c r="K457" s="1">
        <v>1093.42</v>
      </c>
    </row>
    <row r="458" spans="1:11" x14ac:dyDescent="0.35">
      <c r="A458">
        <v>724426</v>
      </c>
      <c r="B458">
        <v>2055526</v>
      </c>
      <c r="C458" t="str">
        <f>"DAWSON INDEP SCHOOL DISTRICT"</f>
        <v>DAWSON INDEP SCHOOL DISTRICT</v>
      </c>
      <c r="D458" t="s">
        <v>11</v>
      </c>
      <c r="E458" t="s">
        <v>411</v>
      </c>
      <c r="F458" t="s">
        <v>412</v>
      </c>
      <c r="G458">
        <v>76639</v>
      </c>
      <c r="H458">
        <v>2010</v>
      </c>
      <c r="I458" s="1">
        <v>1500.24</v>
      </c>
      <c r="J458" s="1">
        <v>1875.3</v>
      </c>
      <c r="K458" s="1">
        <v>1500.24</v>
      </c>
    </row>
    <row r="459" spans="1:11" x14ac:dyDescent="0.35">
      <c r="A459">
        <v>741972</v>
      </c>
      <c r="B459">
        <v>2019847</v>
      </c>
      <c r="C459" t="str">
        <f>"DAYTON INDEPENDENT SCHOOL DISTRICT"</f>
        <v>DAYTON INDEPENDENT SCHOOL DISTRICT</v>
      </c>
      <c r="D459" t="s">
        <v>11</v>
      </c>
      <c r="E459" t="s">
        <v>415</v>
      </c>
      <c r="F459" t="s">
        <v>416</v>
      </c>
      <c r="G459">
        <v>77535</v>
      </c>
      <c r="H459">
        <v>2010</v>
      </c>
      <c r="I459" s="1">
        <v>9765</v>
      </c>
      <c r="J459" s="1">
        <v>13020</v>
      </c>
    </row>
    <row r="460" spans="1:11" x14ac:dyDescent="0.35">
      <c r="A460">
        <v>741972</v>
      </c>
      <c r="B460">
        <v>2019832</v>
      </c>
      <c r="C460" t="str">
        <f>"DAYTON INDEPENDENT SCHOOL DISTRICT"</f>
        <v>DAYTON INDEPENDENT SCHOOL DISTRICT</v>
      </c>
      <c r="D460" t="s">
        <v>11</v>
      </c>
      <c r="E460" t="s">
        <v>415</v>
      </c>
      <c r="F460" t="s">
        <v>416</v>
      </c>
      <c r="G460">
        <v>77535</v>
      </c>
      <c r="H460">
        <v>2010</v>
      </c>
      <c r="I460" s="1">
        <v>8901</v>
      </c>
      <c r="J460" s="1">
        <v>11868</v>
      </c>
    </row>
    <row r="461" spans="1:11" x14ac:dyDescent="0.35">
      <c r="A461">
        <v>743918</v>
      </c>
      <c r="B461">
        <v>2008189</v>
      </c>
      <c r="C461" t="str">
        <f>"DAYTON INDEPENDENT SCHOOL DISTRICT"</f>
        <v>DAYTON INDEPENDENT SCHOOL DISTRICT</v>
      </c>
      <c r="D461" t="s">
        <v>11</v>
      </c>
      <c r="E461" t="s">
        <v>415</v>
      </c>
      <c r="F461" t="s">
        <v>416</v>
      </c>
      <c r="G461">
        <v>77535</v>
      </c>
      <c r="H461">
        <v>2010</v>
      </c>
      <c r="I461" s="1">
        <v>5518.01</v>
      </c>
      <c r="J461" s="1">
        <v>7357.35</v>
      </c>
      <c r="K461" s="1">
        <v>5518.01</v>
      </c>
    </row>
    <row r="462" spans="1:11" x14ac:dyDescent="0.35">
      <c r="A462">
        <v>747958</v>
      </c>
      <c r="B462">
        <v>2019090</v>
      </c>
      <c r="C462" t="str">
        <f>"DAYTON INDEPENDENT SCHOOL DISTRICT"</f>
        <v>DAYTON INDEPENDENT SCHOOL DISTRICT</v>
      </c>
      <c r="D462" t="s">
        <v>11</v>
      </c>
      <c r="E462" t="s">
        <v>415</v>
      </c>
      <c r="F462" t="s">
        <v>416</v>
      </c>
      <c r="G462">
        <v>77535</v>
      </c>
      <c r="H462">
        <v>2010</v>
      </c>
      <c r="I462" s="1">
        <v>416</v>
      </c>
      <c r="J462" s="1">
        <v>520</v>
      </c>
      <c r="K462" s="1">
        <v>416</v>
      </c>
    </row>
    <row r="463" spans="1:11" x14ac:dyDescent="0.35">
      <c r="A463">
        <v>747875</v>
      </c>
      <c r="B463">
        <v>2018935</v>
      </c>
      <c r="C463" t="str">
        <f>"DAYTON INDEPENDENT SCHOOL DISTRICT"</f>
        <v>DAYTON INDEPENDENT SCHOOL DISTRICT</v>
      </c>
      <c r="D463" t="s">
        <v>11</v>
      </c>
      <c r="E463" t="s">
        <v>415</v>
      </c>
      <c r="F463" t="s">
        <v>416</v>
      </c>
      <c r="G463">
        <v>77535</v>
      </c>
      <c r="H463">
        <v>2010</v>
      </c>
      <c r="I463" s="1">
        <v>2288</v>
      </c>
      <c r="J463" s="1">
        <v>2860</v>
      </c>
      <c r="K463" s="1">
        <v>2288</v>
      </c>
    </row>
    <row r="464" spans="1:11" x14ac:dyDescent="0.35">
      <c r="A464">
        <v>750803</v>
      </c>
      <c r="B464">
        <v>2028093</v>
      </c>
      <c r="C464" t="str">
        <f>"DE LEON INDEP SCHOOL DISTRICT"</f>
        <v>DE LEON INDEP SCHOOL DISTRICT</v>
      </c>
      <c r="D464" t="s">
        <v>11</v>
      </c>
      <c r="E464" t="s">
        <v>417</v>
      </c>
      <c r="F464" t="s">
        <v>418</v>
      </c>
      <c r="G464">
        <v>76444</v>
      </c>
      <c r="H464">
        <v>2010</v>
      </c>
      <c r="I464" s="1">
        <v>0</v>
      </c>
      <c r="J464" s="1">
        <v>0</v>
      </c>
    </row>
    <row r="465" spans="1:11" x14ac:dyDescent="0.35">
      <c r="A465">
        <v>726167</v>
      </c>
      <c r="B465">
        <v>1966121</v>
      </c>
      <c r="C465" t="str">
        <f>"DE LEON INDEP SCHOOL DISTRICT"</f>
        <v>DE LEON INDEP SCHOOL DISTRICT</v>
      </c>
      <c r="D465" t="s">
        <v>11</v>
      </c>
      <c r="E465" t="s">
        <v>417</v>
      </c>
      <c r="F465" t="s">
        <v>418</v>
      </c>
      <c r="G465">
        <v>76444</v>
      </c>
      <c r="H465">
        <v>2010</v>
      </c>
      <c r="I465" s="1">
        <v>36288</v>
      </c>
      <c r="J465" s="1">
        <v>45360</v>
      </c>
      <c r="K465" s="1">
        <v>36288</v>
      </c>
    </row>
    <row r="466" spans="1:11" x14ac:dyDescent="0.35">
      <c r="A466">
        <v>735968</v>
      </c>
      <c r="B466">
        <v>1988804</v>
      </c>
      <c r="C466" t="str">
        <f>"DE LEON INDEP SCHOOL DISTRICT"</f>
        <v>DE LEON INDEP SCHOOL DISTRICT</v>
      </c>
      <c r="D466" t="s">
        <v>11</v>
      </c>
      <c r="E466" t="s">
        <v>417</v>
      </c>
      <c r="F466" t="s">
        <v>418</v>
      </c>
      <c r="G466">
        <v>76444</v>
      </c>
      <c r="H466">
        <v>2010</v>
      </c>
      <c r="I466" s="1">
        <v>1200</v>
      </c>
      <c r="J466" s="1">
        <v>1500</v>
      </c>
    </row>
    <row r="467" spans="1:11" x14ac:dyDescent="0.35">
      <c r="A467">
        <v>713330</v>
      </c>
      <c r="B467">
        <v>2004843</v>
      </c>
      <c r="C467" t="str">
        <f>"DECATUR INDEP SCHOOL DISTRICT"</f>
        <v>DECATUR INDEP SCHOOL DISTRICT</v>
      </c>
      <c r="D467" t="s">
        <v>11</v>
      </c>
      <c r="E467" t="s">
        <v>419</v>
      </c>
      <c r="F467" t="s">
        <v>420</v>
      </c>
      <c r="G467">
        <v>76234</v>
      </c>
      <c r="H467">
        <v>2010</v>
      </c>
      <c r="I467" s="1">
        <v>2391.21</v>
      </c>
      <c r="J467" s="1">
        <v>3623.05</v>
      </c>
      <c r="K467" s="1">
        <v>2391.21</v>
      </c>
    </row>
    <row r="468" spans="1:11" x14ac:dyDescent="0.35">
      <c r="A468">
        <v>713330</v>
      </c>
      <c r="B468">
        <v>1949025</v>
      </c>
      <c r="C468" t="str">
        <f>"DECATUR INDEP SCHOOL DISTRICT"</f>
        <v>DECATUR INDEP SCHOOL DISTRICT</v>
      </c>
      <c r="D468" t="s">
        <v>11</v>
      </c>
      <c r="E468" t="s">
        <v>419</v>
      </c>
      <c r="F468" t="s">
        <v>420</v>
      </c>
      <c r="G468">
        <v>76234</v>
      </c>
      <c r="H468">
        <v>2010</v>
      </c>
      <c r="I468" s="1">
        <v>7288.69</v>
      </c>
      <c r="J468" s="1">
        <v>11843.2</v>
      </c>
      <c r="K468" s="1">
        <v>7288.69</v>
      </c>
    </row>
    <row r="469" spans="1:11" x14ac:dyDescent="0.35">
      <c r="A469">
        <v>713330</v>
      </c>
      <c r="B469">
        <v>1949016</v>
      </c>
      <c r="C469" t="str">
        <f>"DECATUR INDEP SCHOOL DISTRICT"</f>
        <v>DECATUR INDEP SCHOOL DISTRICT</v>
      </c>
      <c r="D469" t="s">
        <v>11</v>
      </c>
      <c r="E469" t="s">
        <v>419</v>
      </c>
      <c r="F469" t="s">
        <v>420</v>
      </c>
      <c r="G469">
        <v>76234</v>
      </c>
      <c r="H469">
        <v>2010</v>
      </c>
      <c r="I469" s="1">
        <v>12516.77</v>
      </c>
      <c r="J469" s="1">
        <v>18964.8</v>
      </c>
      <c r="K469" s="1">
        <v>12516</v>
      </c>
    </row>
    <row r="470" spans="1:11" x14ac:dyDescent="0.35">
      <c r="A470">
        <v>713330</v>
      </c>
      <c r="B470">
        <v>1949029</v>
      </c>
      <c r="C470" t="str">
        <f>"DECATUR INDEP SCHOOL DISTRICT"</f>
        <v>DECATUR INDEP SCHOOL DISTRICT</v>
      </c>
      <c r="D470" t="s">
        <v>11</v>
      </c>
      <c r="E470" t="s">
        <v>419</v>
      </c>
      <c r="F470" t="s">
        <v>420</v>
      </c>
      <c r="G470">
        <v>76234</v>
      </c>
      <c r="H470">
        <v>2010</v>
      </c>
      <c r="I470" s="1">
        <v>14850</v>
      </c>
      <c r="J470" s="1">
        <v>22500</v>
      </c>
      <c r="K470" s="1">
        <v>14850</v>
      </c>
    </row>
    <row r="471" spans="1:11" x14ac:dyDescent="0.35">
      <c r="A471">
        <v>713330</v>
      </c>
      <c r="B471">
        <v>1949020</v>
      </c>
      <c r="C471" t="str">
        <f>"DECATUR INDEP SCHOOL DISTRICT"</f>
        <v>DECATUR INDEP SCHOOL DISTRICT</v>
      </c>
      <c r="D471" t="s">
        <v>11</v>
      </c>
      <c r="E471" t="s">
        <v>419</v>
      </c>
      <c r="F471" t="s">
        <v>420</v>
      </c>
      <c r="G471">
        <v>76234</v>
      </c>
      <c r="H471">
        <v>2010</v>
      </c>
      <c r="I471" s="1">
        <v>4712.3999999999996</v>
      </c>
      <c r="J471" s="1">
        <v>7140</v>
      </c>
      <c r="K471" s="1">
        <v>4712.3999999999996</v>
      </c>
    </row>
    <row r="472" spans="1:11" x14ac:dyDescent="0.35">
      <c r="A472">
        <v>713334</v>
      </c>
      <c r="B472">
        <v>1967318</v>
      </c>
      <c r="C472" t="str">
        <f>"DEER PARK INDEP SCHOOL DIST"</f>
        <v>DEER PARK INDEP SCHOOL DIST</v>
      </c>
      <c r="D472" t="s">
        <v>11</v>
      </c>
      <c r="E472" t="s">
        <v>421</v>
      </c>
      <c r="F472" t="s">
        <v>422</v>
      </c>
      <c r="G472">
        <v>77536</v>
      </c>
      <c r="H472">
        <v>2010</v>
      </c>
      <c r="I472" s="1">
        <v>11433.6</v>
      </c>
      <c r="J472" s="1">
        <v>19056</v>
      </c>
      <c r="K472" s="1">
        <v>8899.2000000000007</v>
      </c>
    </row>
    <row r="473" spans="1:11" x14ac:dyDescent="0.35">
      <c r="A473">
        <v>713334</v>
      </c>
      <c r="B473">
        <v>1967322</v>
      </c>
      <c r="C473" t="str">
        <f>"DEER PARK INDEP SCHOOL DIST"</f>
        <v>DEER PARK INDEP SCHOOL DIST</v>
      </c>
      <c r="D473" t="s">
        <v>11</v>
      </c>
      <c r="E473" t="s">
        <v>421</v>
      </c>
      <c r="F473" t="s">
        <v>422</v>
      </c>
      <c r="G473">
        <v>77536</v>
      </c>
      <c r="H473">
        <v>2010</v>
      </c>
      <c r="I473" s="1">
        <v>3420</v>
      </c>
      <c r="J473" s="1">
        <v>5700</v>
      </c>
      <c r="K473" s="1">
        <v>3420</v>
      </c>
    </row>
    <row r="474" spans="1:11" x14ac:dyDescent="0.35">
      <c r="A474">
        <v>713334</v>
      </c>
      <c r="B474">
        <v>1967323</v>
      </c>
      <c r="C474" t="str">
        <f>"DEER PARK INDEP SCHOOL DIST"</f>
        <v>DEER PARK INDEP SCHOOL DIST</v>
      </c>
      <c r="D474" t="s">
        <v>11</v>
      </c>
      <c r="E474" t="s">
        <v>421</v>
      </c>
      <c r="F474" t="s">
        <v>422</v>
      </c>
      <c r="G474">
        <v>77536</v>
      </c>
      <c r="H474">
        <v>2010</v>
      </c>
      <c r="I474" s="1">
        <v>20134.8</v>
      </c>
      <c r="J474" s="1">
        <v>33558</v>
      </c>
      <c r="K474" s="1">
        <v>20134.8</v>
      </c>
    </row>
    <row r="475" spans="1:11" x14ac:dyDescent="0.35">
      <c r="A475">
        <v>713334</v>
      </c>
      <c r="B475">
        <v>1967321</v>
      </c>
      <c r="C475" t="str">
        <f>"DEER PARK INDEP SCHOOL DIST"</f>
        <v>DEER PARK INDEP SCHOOL DIST</v>
      </c>
      <c r="D475" t="s">
        <v>11</v>
      </c>
      <c r="E475" t="s">
        <v>421</v>
      </c>
      <c r="F475" t="s">
        <v>422</v>
      </c>
      <c r="G475">
        <v>77536</v>
      </c>
      <c r="H475">
        <v>2010</v>
      </c>
      <c r="I475" s="1">
        <v>8671.8799999999992</v>
      </c>
      <c r="J475" s="1">
        <v>14453.13</v>
      </c>
      <c r="K475" s="1">
        <v>8671.8799999999992</v>
      </c>
    </row>
    <row r="476" spans="1:11" x14ac:dyDescent="0.35">
      <c r="A476">
        <v>713334</v>
      </c>
      <c r="B476">
        <v>1967314</v>
      </c>
      <c r="C476" t="str">
        <f>"DEER PARK INDEP SCHOOL DIST"</f>
        <v>DEER PARK INDEP SCHOOL DIST</v>
      </c>
      <c r="D476" t="s">
        <v>11</v>
      </c>
      <c r="E476" t="s">
        <v>421</v>
      </c>
      <c r="F476" t="s">
        <v>422</v>
      </c>
      <c r="G476">
        <v>77536</v>
      </c>
      <c r="H476">
        <v>2010</v>
      </c>
      <c r="I476" s="1">
        <v>15120</v>
      </c>
      <c r="J476" s="1">
        <v>25200</v>
      </c>
      <c r="K476" s="1">
        <v>15120</v>
      </c>
    </row>
    <row r="477" spans="1:11" x14ac:dyDescent="0.35">
      <c r="A477">
        <v>749304</v>
      </c>
      <c r="B477">
        <v>2024295</v>
      </c>
      <c r="C477" t="str">
        <f>"DEL VALLE INDEP SCHOOL DIST"</f>
        <v>DEL VALLE INDEP SCHOOL DIST</v>
      </c>
      <c r="D477" t="s">
        <v>11</v>
      </c>
      <c r="E477" t="s">
        <v>423</v>
      </c>
      <c r="F477" t="s">
        <v>424</v>
      </c>
      <c r="G477">
        <v>78617</v>
      </c>
      <c r="H477">
        <v>2010</v>
      </c>
      <c r="I477" s="1">
        <v>34974</v>
      </c>
      <c r="J477" s="1">
        <v>40200</v>
      </c>
      <c r="K477" s="1">
        <v>33408</v>
      </c>
    </row>
    <row r="478" spans="1:11" x14ac:dyDescent="0.35">
      <c r="A478">
        <v>740334</v>
      </c>
      <c r="B478">
        <v>1999442</v>
      </c>
      <c r="C478" t="str">
        <f>"DELL CITY INDEP SCHOOL DIST"</f>
        <v>DELL CITY INDEP SCHOOL DIST</v>
      </c>
      <c r="D478" t="s">
        <v>11</v>
      </c>
      <c r="E478" t="s">
        <v>425</v>
      </c>
      <c r="F478" t="s">
        <v>426</v>
      </c>
      <c r="G478">
        <v>79837</v>
      </c>
      <c r="H478">
        <v>2010</v>
      </c>
      <c r="I478" s="1">
        <v>0</v>
      </c>
      <c r="J478" s="1">
        <v>0</v>
      </c>
    </row>
    <row r="479" spans="1:11" x14ac:dyDescent="0.35">
      <c r="A479">
        <v>741309</v>
      </c>
      <c r="B479">
        <v>2001567</v>
      </c>
      <c r="C479" t="str">
        <f>"DELL CITY INDEP SCHOOL DIST"</f>
        <v>DELL CITY INDEP SCHOOL DIST</v>
      </c>
      <c r="D479" t="s">
        <v>11</v>
      </c>
      <c r="E479" t="s">
        <v>425</v>
      </c>
      <c r="F479" t="s">
        <v>426</v>
      </c>
      <c r="G479">
        <v>79837</v>
      </c>
      <c r="H479">
        <v>2010</v>
      </c>
      <c r="I479" s="1">
        <v>675</v>
      </c>
      <c r="J479" s="1">
        <v>750</v>
      </c>
      <c r="K479" s="1">
        <v>675</v>
      </c>
    </row>
    <row r="480" spans="1:11" x14ac:dyDescent="0.35">
      <c r="A480">
        <v>741977</v>
      </c>
      <c r="B480">
        <v>2003208</v>
      </c>
      <c r="C480" t="str">
        <f>"DELL CITY INDEP SCHOOL DIST"</f>
        <v>DELL CITY INDEP SCHOOL DIST</v>
      </c>
      <c r="D480" t="s">
        <v>11</v>
      </c>
      <c r="E480" t="s">
        <v>425</v>
      </c>
      <c r="F480" t="s">
        <v>426</v>
      </c>
      <c r="G480">
        <v>79837</v>
      </c>
      <c r="H480">
        <v>2010</v>
      </c>
      <c r="I480" s="1">
        <v>9720</v>
      </c>
      <c r="J480" s="1">
        <v>10800</v>
      </c>
      <c r="K480" s="1">
        <v>9720</v>
      </c>
    </row>
    <row r="481" spans="1:11" x14ac:dyDescent="0.35">
      <c r="A481">
        <v>747111</v>
      </c>
      <c r="B481">
        <v>2016954</v>
      </c>
      <c r="C481" t="str">
        <f>"DENISON INDEPENDENT SCHOOL DISTRICT"</f>
        <v>DENISON INDEPENDENT SCHOOL DISTRICT</v>
      </c>
      <c r="D481" t="s">
        <v>11</v>
      </c>
      <c r="E481" t="s">
        <v>427</v>
      </c>
      <c r="F481" t="s">
        <v>428</v>
      </c>
      <c r="G481">
        <v>75020</v>
      </c>
      <c r="H481">
        <v>2010</v>
      </c>
      <c r="I481" s="1">
        <v>19070.64</v>
      </c>
      <c r="J481" s="1">
        <v>23544</v>
      </c>
      <c r="K481" s="1">
        <v>18989.310000000001</v>
      </c>
    </row>
    <row r="482" spans="1:11" x14ac:dyDescent="0.35">
      <c r="A482">
        <v>746066</v>
      </c>
      <c r="B482">
        <v>2016199</v>
      </c>
      <c r="C482" t="str">
        <f>"DENISON INDEPENDENT SCHOOL DISTRICT"</f>
        <v>DENISON INDEPENDENT SCHOOL DISTRICT</v>
      </c>
      <c r="D482" t="s">
        <v>11</v>
      </c>
      <c r="E482" t="s">
        <v>427</v>
      </c>
      <c r="F482" t="s">
        <v>428</v>
      </c>
      <c r="G482">
        <v>75020</v>
      </c>
      <c r="H482">
        <v>2010</v>
      </c>
      <c r="I482" s="1">
        <v>9674.44</v>
      </c>
      <c r="J482" s="1">
        <v>11943.75</v>
      </c>
      <c r="K482" s="1">
        <v>9674.44</v>
      </c>
    </row>
    <row r="483" spans="1:11" x14ac:dyDescent="0.35">
      <c r="A483">
        <v>747111</v>
      </c>
      <c r="B483">
        <v>2016973</v>
      </c>
      <c r="C483" t="str">
        <f>"DENISON INDEPENDENT SCHOOL DISTRICT"</f>
        <v>DENISON INDEPENDENT SCHOOL DISTRICT</v>
      </c>
      <c r="D483" t="s">
        <v>11</v>
      </c>
      <c r="E483" t="s">
        <v>427</v>
      </c>
      <c r="F483" t="s">
        <v>428</v>
      </c>
      <c r="G483">
        <v>75020</v>
      </c>
      <c r="H483">
        <v>2010</v>
      </c>
      <c r="I483" s="1">
        <v>14798.7</v>
      </c>
      <c r="J483" s="1">
        <v>18270</v>
      </c>
      <c r="K483" s="1">
        <v>14798.7</v>
      </c>
    </row>
    <row r="484" spans="1:11" x14ac:dyDescent="0.35">
      <c r="A484">
        <v>748661</v>
      </c>
      <c r="B484">
        <v>2022724</v>
      </c>
      <c r="C484" t="str">
        <f>"DENTON INDEP SCHOOL DISTRICT"</f>
        <v>DENTON INDEP SCHOOL DISTRICT</v>
      </c>
      <c r="D484" t="s">
        <v>11</v>
      </c>
      <c r="E484" t="s">
        <v>429</v>
      </c>
      <c r="F484" t="s">
        <v>430</v>
      </c>
      <c r="G484">
        <v>76201</v>
      </c>
      <c r="H484">
        <v>2010</v>
      </c>
      <c r="I484" s="1">
        <v>2088</v>
      </c>
      <c r="J484" s="1">
        <v>3480</v>
      </c>
      <c r="K484" s="1">
        <v>2088</v>
      </c>
    </row>
    <row r="485" spans="1:11" x14ac:dyDescent="0.35">
      <c r="A485">
        <v>748661</v>
      </c>
      <c r="B485">
        <v>2022727</v>
      </c>
      <c r="C485" t="str">
        <f>"DENTON INDEP SCHOOL DISTRICT"</f>
        <v>DENTON INDEP SCHOOL DISTRICT</v>
      </c>
      <c r="D485" t="s">
        <v>11</v>
      </c>
      <c r="E485" t="s">
        <v>429</v>
      </c>
      <c r="F485" t="s">
        <v>430</v>
      </c>
      <c r="G485">
        <v>76201</v>
      </c>
      <c r="H485">
        <v>2010</v>
      </c>
      <c r="I485" s="1">
        <v>43800</v>
      </c>
      <c r="J485" s="1">
        <v>73000</v>
      </c>
      <c r="K485" s="1">
        <v>43800</v>
      </c>
    </row>
    <row r="486" spans="1:11" x14ac:dyDescent="0.35">
      <c r="A486">
        <v>766145</v>
      </c>
      <c r="B486">
        <v>2071283</v>
      </c>
      <c r="C486" t="str">
        <f>"DENTON INDEP SCHOOL DISTRICT"</f>
        <v>DENTON INDEP SCHOOL DISTRICT</v>
      </c>
      <c r="D486" t="s">
        <v>11</v>
      </c>
      <c r="E486" t="s">
        <v>429</v>
      </c>
      <c r="F486" t="s">
        <v>430</v>
      </c>
      <c r="G486">
        <v>76201</v>
      </c>
      <c r="H486">
        <v>2010</v>
      </c>
      <c r="I486" s="1">
        <v>0</v>
      </c>
      <c r="J486" s="1">
        <v>41985</v>
      </c>
      <c r="K486" s="1">
        <v>0</v>
      </c>
    </row>
    <row r="487" spans="1:11" x14ac:dyDescent="0.35">
      <c r="A487">
        <v>713798</v>
      </c>
      <c r="B487">
        <v>1943752</v>
      </c>
      <c r="C487" t="str">
        <f>"DENVER CITY INDEP SCHOOL DIST"</f>
        <v>DENVER CITY INDEP SCHOOL DIST</v>
      </c>
      <c r="D487" t="s">
        <v>11</v>
      </c>
      <c r="E487" t="s">
        <v>431</v>
      </c>
      <c r="F487" t="s">
        <v>432</v>
      </c>
      <c r="G487">
        <v>79323</v>
      </c>
      <c r="H487">
        <v>2010</v>
      </c>
      <c r="I487" s="1">
        <v>5775</v>
      </c>
      <c r="J487" s="1">
        <v>7500</v>
      </c>
    </row>
    <row r="488" spans="1:11" x14ac:dyDescent="0.35">
      <c r="A488">
        <v>713798</v>
      </c>
      <c r="B488">
        <v>1943751</v>
      </c>
      <c r="C488" t="str">
        <f>"DENVER CITY INDEP SCHOOL DIST"</f>
        <v>DENVER CITY INDEP SCHOOL DIST</v>
      </c>
      <c r="D488" t="s">
        <v>11</v>
      </c>
      <c r="E488" t="s">
        <v>431</v>
      </c>
      <c r="F488" t="s">
        <v>432</v>
      </c>
      <c r="G488">
        <v>79323</v>
      </c>
      <c r="H488">
        <v>2010</v>
      </c>
      <c r="I488" s="1">
        <v>11734.8</v>
      </c>
      <c r="J488" s="1">
        <v>15240</v>
      </c>
      <c r="K488" s="1">
        <v>1222.3800000000001</v>
      </c>
    </row>
    <row r="489" spans="1:11" x14ac:dyDescent="0.35">
      <c r="A489">
        <v>726151</v>
      </c>
      <c r="B489">
        <v>2050583</v>
      </c>
      <c r="C489" t="str">
        <f>"DEVERS INDEP SCHOOL DISTRICT"</f>
        <v>DEVERS INDEP SCHOOL DISTRICT</v>
      </c>
      <c r="D489" t="s">
        <v>11</v>
      </c>
      <c r="E489" t="s">
        <v>433</v>
      </c>
      <c r="F489" t="s">
        <v>434</v>
      </c>
      <c r="G489">
        <v>77538</v>
      </c>
      <c r="H489">
        <v>2010</v>
      </c>
      <c r="I489" s="1">
        <v>6364.8</v>
      </c>
      <c r="J489" s="1">
        <v>7956</v>
      </c>
      <c r="K489" s="1">
        <v>6364.8</v>
      </c>
    </row>
    <row r="490" spans="1:11" x14ac:dyDescent="0.35">
      <c r="A490">
        <v>727438</v>
      </c>
      <c r="B490">
        <v>1969115</v>
      </c>
      <c r="C490" t="str">
        <f>"DEVINE INDEP SCHOOL DISTRICT"</f>
        <v>DEVINE INDEP SCHOOL DISTRICT</v>
      </c>
      <c r="D490" t="s">
        <v>11</v>
      </c>
      <c r="E490" t="s">
        <v>435</v>
      </c>
      <c r="F490" t="s">
        <v>436</v>
      </c>
      <c r="G490">
        <v>78016</v>
      </c>
      <c r="H490">
        <v>2010</v>
      </c>
      <c r="I490" s="1">
        <v>17904</v>
      </c>
      <c r="J490" s="1">
        <v>22380</v>
      </c>
      <c r="K490" s="1">
        <v>6476.8</v>
      </c>
    </row>
    <row r="491" spans="1:11" x14ac:dyDescent="0.35">
      <c r="A491">
        <v>727438</v>
      </c>
      <c r="B491">
        <v>1969121</v>
      </c>
      <c r="C491" t="str">
        <f>"DEVINE INDEP SCHOOL DISTRICT"</f>
        <v>DEVINE INDEP SCHOOL DISTRICT</v>
      </c>
      <c r="D491" t="s">
        <v>11</v>
      </c>
      <c r="E491" t="s">
        <v>435</v>
      </c>
      <c r="F491" t="s">
        <v>436</v>
      </c>
      <c r="G491">
        <v>78016</v>
      </c>
      <c r="H491">
        <v>2010</v>
      </c>
      <c r="I491" s="1">
        <v>7497.6</v>
      </c>
      <c r="J491" s="1">
        <v>9372</v>
      </c>
    </row>
    <row r="492" spans="1:11" x14ac:dyDescent="0.35">
      <c r="A492">
        <v>727438</v>
      </c>
      <c r="B492">
        <v>1969108</v>
      </c>
      <c r="C492" t="str">
        <f>"DEVINE INDEP SCHOOL DISTRICT"</f>
        <v>DEVINE INDEP SCHOOL DISTRICT</v>
      </c>
      <c r="D492" t="s">
        <v>11</v>
      </c>
      <c r="E492" t="s">
        <v>435</v>
      </c>
      <c r="F492" t="s">
        <v>436</v>
      </c>
      <c r="G492">
        <v>78016</v>
      </c>
      <c r="H492">
        <v>2010</v>
      </c>
      <c r="I492" s="1">
        <v>2133.12</v>
      </c>
      <c r="J492" s="1">
        <v>2666.4</v>
      </c>
    </row>
    <row r="493" spans="1:11" x14ac:dyDescent="0.35">
      <c r="A493">
        <v>708769</v>
      </c>
      <c r="B493">
        <v>2029391</v>
      </c>
      <c r="C493" t="str">
        <f>"DEW INDEP SCHOOL DISTRICT"</f>
        <v>DEW INDEP SCHOOL DISTRICT</v>
      </c>
      <c r="D493" t="s">
        <v>11</v>
      </c>
      <c r="E493" t="s">
        <v>437</v>
      </c>
      <c r="F493" t="s">
        <v>438</v>
      </c>
      <c r="G493">
        <v>75860</v>
      </c>
      <c r="H493">
        <v>2010</v>
      </c>
      <c r="I493" s="1">
        <v>5040</v>
      </c>
      <c r="J493" s="1">
        <v>7200</v>
      </c>
      <c r="K493" s="1">
        <v>5040</v>
      </c>
    </row>
    <row r="494" spans="1:11" x14ac:dyDescent="0.35">
      <c r="A494">
        <v>751683</v>
      </c>
      <c r="B494">
        <v>2030726</v>
      </c>
      <c r="C494" t="str">
        <f>"DEWEYVILLE INDEP SCH DISTRICT"</f>
        <v>DEWEYVILLE INDEP SCH DISTRICT</v>
      </c>
      <c r="D494" t="s">
        <v>11</v>
      </c>
      <c r="E494" t="s">
        <v>439</v>
      </c>
      <c r="F494" t="s">
        <v>440</v>
      </c>
      <c r="G494">
        <v>77614</v>
      </c>
      <c r="H494">
        <v>2010</v>
      </c>
      <c r="I494" s="1">
        <v>1942.5</v>
      </c>
      <c r="J494" s="1">
        <v>2625</v>
      </c>
      <c r="K494" s="1">
        <v>1942.5</v>
      </c>
    </row>
    <row r="495" spans="1:11" x14ac:dyDescent="0.35">
      <c r="A495">
        <v>726135</v>
      </c>
      <c r="B495">
        <v>1999361</v>
      </c>
      <c r="C495" t="str">
        <f>"DIBOLL INDEP SCHOOL DISTRICT"</f>
        <v>DIBOLL INDEP SCHOOL DISTRICT</v>
      </c>
      <c r="D495" t="s">
        <v>11</v>
      </c>
      <c r="E495" t="s">
        <v>441</v>
      </c>
      <c r="F495" t="s">
        <v>442</v>
      </c>
      <c r="G495">
        <v>75941</v>
      </c>
      <c r="H495">
        <v>2010</v>
      </c>
      <c r="I495" s="1">
        <v>3570</v>
      </c>
      <c r="J495" s="1">
        <v>4200</v>
      </c>
      <c r="K495" s="1">
        <v>3570</v>
      </c>
    </row>
    <row r="496" spans="1:11" x14ac:dyDescent="0.35">
      <c r="A496">
        <v>726135</v>
      </c>
      <c r="B496">
        <v>1999332</v>
      </c>
      <c r="C496" t="str">
        <f>"DIBOLL INDEP SCHOOL DISTRICT"</f>
        <v>DIBOLL INDEP SCHOOL DISTRICT</v>
      </c>
      <c r="D496" t="s">
        <v>11</v>
      </c>
      <c r="E496" t="s">
        <v>441</v>
      </c>
      <c r="F496" t="s">
        <v>442</v>
      </c>
      <c r="G496">
        <v>75941</v>
      </c>
      <c r="H496">
        <v>2010</v>
      </c>
      <c r="I496" s="1">
        <v>30600</v>
      </c>
      <c r="J496" s="1">
        <v>36000</v>
      </c>
      <c r="K496" s="1">
        <v>24276.2</v>
      </c>
    </row>
    <row r="497" spans="1:11" x14ac:dyDescent="0.35">
      <c r="A497">
        <v>726135</v>
      </c>
      <c r="B497">
        <v>1999319</v>
      </c>
      <c r="C497" t="str">
        <f>"DIBOLL INDEP SCHOOL DISTRICT"</f>
        <v>DIBOLL INDEP SCHOOL DISTRICT</v>
      </c>
      <c r="D497" t="s">
        <v>11</v>
      </c>
      <c r="E497" t="s">
        <v>441</v>
      </c>
      <c r="F497" t="s">
        <v>442</v>
      </c>
      <c r="G497">
        <v>75941</v>
      </c>
      <c r="H497">
        <v>2010</v>
      </c>
      <c r="I497" s="1">
        <v>12648</v>
      </c>
      <c r="J497" s="1">
        <v>14880</v>
      </c>
      <c r="K497" s="1">
        <v>7650</v>
      </c>
    </row>
    <row r="498" spans="1:11" x14ac:dyDescent="0.35">
      <c r="A498">
        <v>748182</v>
      </c>
      <c r="B498">
        <v>2020012</v>
      </c>
      <c r="C498" t="str">
        <f>"DICKINSON INDEP SCHOOL DIST"</f>
        <v>DICKINSON INDEP SCHOOL DIST</v>
      </c>
      <c r="D498" t="s">
        <v>11</v>
      </c>
      <c r="E498" t="s">
        <v>443</v>
      </c>
      <c r="F498" t="s">
        <v>444</v>
      </c>
      <c r="G498">
        <v>77539</v>
      </c>
      <c r="H498">
        <v>2010</v>
      </c>
      <c r="I498" s="1">
        <v>2736</v>
      </c>
      <c r="J498" s="1">
        <v>3800</v>
      </c>
    </row>
    <row r="499" spans="1:11" x14ac:dyDescent="0.35">
      <c r="A499">
        <v>748182</v>
      </c>
      <c r="B499">
        <v>2020006</v>
      </c>
      <c r="C499" t="str">
        <f>"DICKINSON INDEP SCHOOL DIST"</f>
        <v>DICKINSON INDEP SCHOOL DIST</v>
      </c>
      <c r="D499" t="s">
        <v>11</v>
      </c>
      <c r="E499" t="s">
        <v>443</v>
      </c>
      <c r="F499" t="s">
        <v>444</v>
      </c>
      <c r="G499">
        <v>77539</v>
      </c>
      <c r="H499">
        <v>2010</v>
      </c>
      <c r="I499" s="1">
        <v>12096</v>
      </c>
      <c r="J499" s="1">
        <v>16800</v>
      </c>
      <c r="K499" s="1">
        <v>12096</v>
      </c>
    </row>
    <row r="500" spans="1:11" x14ac:dyDescent="0.35">
      <c r="A500">
        <v>730590</v>
      </c>
      <c r="B500">
        <v>1976017</v>
      </c>
      <c r="C500" t="str">
        <f>"DILLEY INDEP SCHOOL DISTRICT"</f>
        <v>DILLEY INDEP SCHOOL DISTRICT</v>
      </c>
      <c r="D500" t="s">
        <v>11</v>
      </c>
      <c r="E500" t="s">
        <v>445</v>
      </c>
      <c r="F500" t="s">
        <v>446</v>
      </c>
      <c r="G500">
        <v>78017</v>
      </c>
      <c r="H500">
        <v>2010</v>
      </c>
      <c r="I500" s="1">
        <v>722.24</v>
      </c>
      <c r="J500" s="1">
        <v>830.16</v>
      </c>
      <c r="K500" s="1">
        <v>361.12</v>
      </c>
    </row>
    <row r="501" spans="1:11" x14ac:dyDescent="0.35">
      <c r="A501">
        <v>730590</v>
      </c>
      <c r="B501">
        <v>1976028</v>
      </c>
      <c r="C501" t="str">
        <f>"DILLEY INDEP SCHOOL DISTRICT"</f>
        <v>DILLEY INDEP SCHOOL DISTRICT</v>
      </c>
      <c r="D501" t="s">
        <v>11</v>
      </c>
      <c r="E501" t="s">
        <v>445</v>
      </c>
      <c r="F501" t="s">
        <v>446</v>
      </c>
      <c r="G501">
        <v>78017</v>
      </c>
      <c r="H501">
        <v>2010</v>
      </c>
      <c r="I501" s="1">
        <v>4176</v>
      </c>
      <c r="J501" s="1">
        <v>4800</v>
      </c>
      <c r="K501" s="1">
        <v>4176</v>
      </c>
    </row>
    <row r="502" spans="1:11" x14ac:dyDescent="0.35">
      <c r="A502">
        <v>766225</v>
      </c>
      <c r="B502">
        <v>2071421</v>
      </c>
      <c r="C502" t="str">
        <f>"DIME BOX INDEP SCHOOL DISTRICT"</f>
        <v>DIME BOX INDEP SCHOOL DISTRICT</v>
      </c>
      <c r="D502" t="s">
        <v>11</v>
      </c>
      <c r="E502" t="s">
        <v>447</v>
      </c>
      <c r="F502" t="s">
        <v>448</v>
      </c>
      <c r="G502">
        <v>77853</v>
      </c>
      <c r="H502">
        <v>2010</v>
      </c>
      <c r="I502" s="1">
        <v>19020.48</v>
      </c>
      <c r="J502" s="1">
        <v>23775.599999999999</v>
      </c>
    </row>
    <row r="503" spans="1:11" x14ac:dyDescent="0.35">
      <c r="A503">
        <v>743883</v>
      </c>
      <c r="B503">
        <v>2008244</v>
      </c>
      <c r="C503" t="str">
        <f>"DIMMITT INDEP SCHOOL DISTRICT"</f>
        <v>DIMMITT INDEP SCHOOL DISTRICT</v>
      </c>
      <c r="D503" t="s">
        <v>11</v>
      </c>
      <c r="E503" t="s">
        <v>449</v>
      </c>
      <c r="F503" t="s">
        <v>450</v>
      </c>
      <c r="G503">
        <v>79027</v>
      </c>
      <c r="H503">
        <v>2010</v>
      </c>
      <c r="I503" s="1">
        <v>3255.96</v>
      </c>
      <c r="J503" s="1">
        <v>3699.96</v>
      </c>
      <c r="K503" s="1">
        <v>3255.96</v>
      </c>
    </row>
    <row r="504" spans="1:11" x14ac:dyDescent="0.35">
      <c r="A504">
        <v>731273</v>
      </c>
      <c r="B504">
        <v>2046885</v>
      </c>
      <c r="C504" t="str">
        <f>"DIOCESE OF LAREDO"</f>
        <v>DIOCESE OF LAREDO</v>
      </c>
      <c r="D504" t="s">
        <v>11</v>
      </c>
      <c r="E504" t="s">
        <v>451</v>
      </c>
      <c r="F504" t="s">
        <v>452</v>
      </c>
      <c r="G504">
        <v>78043</v>
      </c>
      <c r="H504">
        <v>2010</v>
      </c>
      <c r="I504" s="1">
        <v>7244.16</v>
      </c>
      <c r="J504" s="1">
        <v>11319</v>
      </c>
      <c r="K504" s="1">
        <v>6059.72</v>
      </c>
    </row>
    <row r="505" spans="1:11" x14ac:dyDescent="0.35">
      <c r="A505">
        <v>745930</v>
      </c>
      <c r="B505">
        <v>2239987</v>
      </c>
      <c r="C505" t="str">
        <f>"DONNA INDEP SCHOOL DISTRICT"</f>
        <v>DONNA INDEP SCHOOL DISTRICT</v>
      </c>
      <c r="D505" t="s">
        <v>11</v>
      </c>
      <c r="E505" t="s">
        <v>453</v>
      </c>
      <c r="F505" t="s">
        <v>454</v>
      </c>
      <c r="G505">
        <v>78537</v>
      </c>
      <c r="H505">
        <v>2010</v>
      </c>
      <c r="I505" s="1">
        <v>37413.9</v>
      </c>
      <c r="J505" s="1">
        <v>41571</v>
      </c>
    </row>
    <row r="506" spans="1:11" x14ac:dyDescent="0.35">
      <c r="A506">
        <v>746155</v>
      </c>
      <c r="B506">
        <v>2014296</v>
      </c>
      <c r="C506" t="str">
        <f>"DONNA INDEP SCHOOL DISTRICT"</f>
        <v>DONNA INDEP SCHOOL DISTRICT</v>
      </c>
      <c r="D506" t="s">
        <v>11</v>
      </c>
      <c r="E506" t="s">
        <v>453</v>
      </c>
      <c r="F506" t="s">
        <v>454</v>
      </c>
      <c r="G506">
        <v>78537</v>
      </c>
      <c r="H506">
        <v>2010</v>
      </c>
      <c r="I506" s="1">
        <v>46342.8</v>
      </c>
      <c r="J506" s="1">
        <v>51492</v>
      </c>
      <c r="K506" s="1">
        <v>46342.8</v>
      </c>
    </row>
    <row r="507" spans="1:11" x14ac:dyDescent="0.35">
      <c r="A507">
        <v>746155</v>
      </c>
      <c r="B507">
        <v>2014264</v>
      </c>
      <c r="C507" t="str">
        <f>"DONNA INDEP SCHOOL DISTRICT"</f>
        <v>DONNA INDEP SCHOOL DISTRICT</v>
      </c>
      <c r="D507" t="s">
        <v>11</v>
      </c>
      <c r="E507" t="s">
        <v>453</v>
      </c>
      <c r="F507" t="s">
        <v>454</v>
      </c>
      <c r="G507">
        <v>78537</v>
      </c>
      <c r="H507">
        <v>2010</v>
      </c>
      <c r="I507" s="1">
        <v>106909.02</v>
      </c>
      <c r="J507" s="1">
        <v>118787.8</v>
      </c>
      <c r="K507" s="1">
        <v>106909.02</v>
      </c>
    </row>
    <row r="508" spans="1:11" x14ac:dyDescent="0.35">
      <c r="A508">
        <v>714555</v>
      </c>
      <c r="B508">
        <v>1945216</v>
      </c>
      <c r="C508" t="str">
        <f>"DOUGLASS INDEP SCHOOL DISTRICT"</f>
        <v>DOUGLASS INDEP SCHOOL DISTRICT</v>
      </c>
      <c r="D508" t="s">
        <v>11</v>
      </c>
      <c r="E508" t="s">
        <v>455</v>
      </c>
      <c r="F508" t="s">
        <v>456</v>
      </c>
      <c r="G508">
        <v>75943</v>
      </c>
      <c r="H508">
        <v>2010</v>
      </c>
      <c r="I508" s="1">
        <v>975</v>
      </c>
      <c r="J508" s="1">
        <v>1625</v>
      </c>
      <c r="K508" s="1">
        <v>975</v>
      </c>
    </row>
    <row r="509" spans="1:11" x14ac:dyDescent="0.35">
      <c r="A509">
        <v>714545</v>
      </c>
      <c r="B509">
        <v>1945175</v>
      </c>
      <c r="C509" t="str">
        <f>"DOUGLASS INDEP SCHOOL DISTRICT"</f>
        <v>DOUGLASS INDEP SCHOOL DISTRICT</v>
      </c>
      <c r="D509" t="s">
        <v>11</v>
      </c>
      <c r="E509" t="s">
        <v>455</v>
      </c>
      <c r="F509" t="s">
        <v>456</v>
      </c>
      <c r="G509">
        <v>75943</v>
      </c>
      <c r="H509">
        <v>2010</v>
      </c>
      <c r="I509" s="1">
        <v>5205.6000000000004</v>
      </c>
      <c r="J509" s="1">
        <v>8676</v>
      </c>
      <c r="K509" s="1">
        <v>1980</v>
      </c>
    </row>
    <row r="510" spans="1:11" x14ac:dyDescent="0.35">
      <c r="A510">
        <v>755079</v>
      </c>
      <c r="B510">
        <v>2040744</v>
      </c>
      <c r="C510" t="str">
        <f>"DRIPPING SPRINGS INDEP SCH DIST"</f>
        <v>DRIPPING SPRINGS INDEP SCH DIST</v>
      </c>
      <c r="D510" t="s">
        <v>11</v>
      </c>
      <c r="E510" t="s">
        <v>457</v>
      </c>
      <c r="F510" t="s">
        <v>458</v>
      </c>
      <c r="G510">
        <v>78620</v>
      </c>
      <c r="H510">
        <v>2010</v>
      </c>
      <c r="I510" s="1">
        <v>9675</v>
      </c>
      <c r="J510" s="1">
        <v>22500</v>
      </c>
      <c r="K510" s="1">
        <v>6192</v>
      </c>
    </row>
    <row r="511" spans="1:11" x14ac:dyDescent="0.35">
      <c r="A511">
        <v>746192</v>
      </c>
      <c r="B511">
        <v>2040714</v>
      </c>
      <c r="C511" t="str">
        <f>"DRIPPING SPRINGS INDEP SCH DIST"</f>
        <v>DRIPPING SPRINGS INDEP SCH DIST</v>
      </c>
      <c r="D511" t="s">
        <v>11</v>
      </c>
      <c r="E511" t="s">
        <v>457</v>
      </c>
      <c r="F511" t="s">
        <v>458</v>
      </c>
      <c r="G511">
        <v>78620</v>
      </c>
      <c r="H511">
        <v>2010</v>
      </c>
      <c r="I511" s="1">
        <v>10578</v>
      </c>
      <c r="J511" s="1">
        <v>24600</v>
      </c>
      <c r="K511" s="1">
        <v>9417</v>
      </c>
    </row>
    <row r="512" spans="1:11" x14ac:dyDescent="0.35">
      <c r="A512">
        <v>743928</v>
      </c>
      <c r="B512">
        <v>2008183</v>
      </c>
      <c r="C512" t="str">
        <f>"DRISCOLL INDEP SCHOOL DISTRICT"</f>
        <v>DRISCOLL INDEP SCHOOL DISTRICT</v>
      </c>
      <c r="D512" t="s">
        <v>11</v>
      </c>
      <c r="E512" t="s">
        <v>459</v>
      </c>
      <c r="F512" t="s">
        <v>460</v>
      </c>
      <c r="G512">
        <v>78351</v>
      </c>
      <c r="H512">
        <v>2010</v>
      </c>
      <c r="I512" s="1">
        <v>17230.64</v>
      </c>
      <c r="J512" s="1">
        <v>19145.16</v>
      </c>
      <c r="K512" s="1">
        <v>17230.64</v>
      </c>
    </row>
    <row r="513" spans="1:11" x14ac:dyDescent="0.35">
      <c r="A513">
        <v>703202</v>
      </c>
      <c r="B513">
        <v>2030460</v>
      </c>
      <c r="C513" t="str">
        <f t="shared" ref="C513:C518" si="6">"DUBLIN INDEP SCHOOL DISTRICT"</f>
        <v>DUBLIN INDEP SCHOOL DISTRICT</v>
      </c>
      <c r="D513" t="s">
        <v>11</v>
      </c>
      <c r="E513" t="s">
        <v>461</v>
      </c>
      <c r="F513" t="s">
        <v>462</v>
      </c>
      <c r="G513">
        <v>76446</v>
      </c>
      <c r="H513">
        <v>2010</v>
      </c>
      <c r="I513" s="1">
        <v>16320</v>
      </c>
      <c r="J513" s="1">
        <v>20400</v>
      </c>
      <c r="K513" s="1">
        <v>16320</v>
      </c>
    </row>
    <row r="514" spans="1:11" x14ac:dyDescent="0.35">
      <c r="A514">
        <v>703202</v>
      </c>
      <c r="B514">
        <v>2031159</v>
      </c>
      <c r="C514" t="str">
        <f t="shared" si="6"/>
        <v>DUBLIN INDEP SCHOOL DISTRICT</v>
      </c>
      <c r="D514" t="s">
        <v>11</v>
      </c>
      <c r="E514" t="s">
        <v>461</v>
      </c>
      <c r="F514" t="s">
        <v>462</v>
      </c>
      <c r="G514">
        <v>76446</v>
      </c>
      <c r="H514">
        <v>2010</v>
      </c>
      <c r="I514" s="1">
        <v>1584</v>
      </c>
      <c r="J514" s="1">
        <v>1980</v>
      </c>
      <c r="K514" s="1">
        <v>1584</v>
      </c>
    </row>
    <row r="515" spans="1:11" x14ac:dyDescent="0.35">
      <c r="A515">
        <v>703202</v>
      </c>
      <c r="B515">
        <v>2030514</v>
      </c>
      <c r="C515" t="str">
        <f t="shared" si="6"/>
        <v>DUBLIN INDEP SCHOOL DISTRICT</v>
      </c>
      <c r="D515" t="s">
        <v>11</v>
      </c>
      <c r="E515" t="s">
        <v>461</v>
      </c>
      <c r="F515" t="s">
        <v>462</v>
      </c>
      <c r="G515">
        <v>76446</v>
      </c>
      <c r="H515">
        <v>2010</v>
      </c>
      <c r="I515" s="1">
        <v>4000</v>
      </c>
      <c r="J515" s="1">
        <v>5000</v>
      </c>
      <c r="K515" s="1">
        <v>4000</v>
      </c>
    </row>
    <row r="516" spans="1:11" x14ac:dyDescent="0.35">
      <c r="A516">
        <v>703202</v>
      </c>
      <c r="B516">
        <v>2030532</v>
      </c>
      <c r="C516" t="str">
        <f t="shared" si="6"/>
        <v>DUBLIN INDEP SCHOOL DISTRICT</v>
      </c>
      <c r="D516" t="s">
        <v>11</v>
      </c>
      <c r="E516" t="s">
        <v>461</v>
      </c>
      <c r="F516" t="s">
        <v>462</v>
      </c>
      <c r="G516">
        <v>76446</v>
      </c>
      <c r="H516">
        <v>2010</v>
      </c>
      <c r="I516" s="1">
        <v>0</v>
      </c>
      <c r="J516" s="1">
        <v>0</v>
      </c>
    </row>
    <row r="517" spans="1:11" x14ac:dyDescent="0.35">
      <c r="A517">
        <v>703202</v>
      </c>
      <c r="B517">
        <v>2030553</v>
      </c>
      <c r="C517" t="str">
        <f t="shared" si="6"/>
        <v>DUBLIN INDEP SCHOOL DISTRICT</v>
      </c>
      <c r="D517" t="s">
        <v>11</v>
      </c>
      <c r="E517" t="s">
        <v>461</v>
      </c>
      <c r="F517" t="s">
        <v>462</v>
      </c>
      <c r="G517">
        <v>76446</v>
      </c>
      <c r="H517">
        <v>2010</v>
      </c>
      <c r="I517" s="1">
        <v>4797.24</v>
      </c>
      <c r="J517" s="1">
        <v>5996.55</v>
      </c>
      <c r="K517" s="1">
        <v>4797.24</v>
      </c>
    </row>
    <row r="518" spans="1:11" x14ac:dyDescent="0.35">
      <c r="A518">
        <v>703202</v>
      </c>
      <c r="B518">
        <v>2030421</v>
      </c>
      <c r="C518" t="str">
        <f t="shared" si="6"/>
        <v>DUBLIN INDEP SCHOOL DISTRICT</v>
      </c>
      <c r="D518" t="s">
        <v>11</v>
      </c>
      <c r="E518" t="s">
        <v>461</v>
      </c>
      <c r="F518" t="s">
        <v>462</v>
      </c>
      <c r="G518">
        <v>76446</v>
      </c>
      <c r="H518">
        <v>2010</v>
      </c>
      <c r="I518" s="1">
        <v>0</v>
      </c>
      <c r="J518" s="1">
        <v>0</v>
      </c>
    </row>
    <row r="519" spans="1:11" x14ac:dyDescent="0.35">
      <c r="A519">
        <v>735219</v>
      </c>
      <c r="B519">
        <v>1986883</v>
      </c>
      <c r="C519" t="str">
        <f>"DUMAS INDEP SCHOOL DISTRICT"</f>
        <v>DUMAS INDEP SCHOOL DISTRICT</v>
      </c>
      <c r="D519" t="s">
        <v>11</v>
      </c>
      <c r="E519" t="s">
        <v>463</v>
      </c>
      <c r="F519" t="s">
        <v>464</v>
      </c>
      <c r="G519">
        <v>79029</v>
      </c>
      <c r="H519">
        <v>2010</v>
      </c>
      <c r="I519" s="1">
        <v>6067.93</v>
      </c>
      <c r="J519" s="1">
        <v>7399.92</v>
      </c>
      <c r="K519" s="1">
        <v>5309.48</v>
      </c>
    </row>
    <row r="520" spans="1:11" x14ac:dyDescent="0.35">
      <c r="A520">
        <v>740876</v>
      </c>
      <c r="B520">
        <v>2000549</v>
      </c>
      <c r="C520" t="str">
        <f>"DUMAS INDEP SCHOOL DISTRICT"</f>
        <v>DUMAS INDEP SCHOOL DISTRICT</v>
      </c>
      <c r="D520" t="s">
        <v>11</v>
      </c>
      <c r="E520" t="s">
        <v>463</v>
      </c>
      <c r="F520" t="s">
        <v>464</v>
      </c>
      <c r="G520">
        <v>79029</v>
      </c>
      <c r="H520">
        <v>2010</v>
      </c>
      <c r="I520" s="1">
        <v>24600</v>
      </c>
      <c r="J520" s="1">
        <v>30000</v>
      </c>
      <c r="K520" s="1">
        <v>24600</v>
      </c>
    </row>
    <row r="521" spans="1:11" x14ac:dyDescent="0.35">
      <c r="A521">
        <v>763958</v>
      </c>
      <c r="B521">
        <v>2078677</v>
      </c>
      <c r="C521" t="str">
        <f>"EAGLE PASS INDEPENDENT SCHOOL DISTRICT"</f>
        <v>EAGLE PASS INDEPENDENT SCHOOL DISTRICT</v>
      </c>
      <c r="D521" t="s">
        <v>11</v>
      </c>
      <c r="E521" t="s">
        <v>465</v>
      </c>
      <c r="F521" t="s">
        <v>466</v>
      </c>
      <c r="G521">
        <v>78853</v>
      </c>
      <c r="H521">
        <v>2010</v>
      </c>
      <c r="I521" s="1">
        <v>75332.45</v>
      </c>
      <c r="J521" s="1">
        <v>84643.199999999997</v>
      </c>
      <c r="K521" s="1">
        <v>75332.45</v>
      </c>
    </row>
    <row r="522" spans="1:11" x14ac:dyDescent="0.35">
      <c r="A522">
        <v>763958</v>
      </c>
      <c r="B522">
        <v>2078730</v>
      </c>
      <c r="C522" t="str">
        <f>"EAGLE PASS INDEPENDENT SCHOOL DISTRICT"</f>
        <v>EAGLE PASS INDEPENDENT SCHOOL DISTRICT</v>
      </c>
      <c r="D522" t="s">
        <v>11</v>
      </c>
      <c r="E522" t="s">
        <v>465</v>
      </c>
      <c r="F522" t="s">
        <v>466</v>
      </c>
      <c r="G522">
        <v>78853</v>
      </c>
      <c r="H522">
        <v>2010</v>
      </c>
      <c r="I522" s="1">
        <v>3364.2</v>
      </c>
      <c r="J522" s="1">
        <v>3780</v>
      </c>
      <c r="K522" s="1">
        <v>3364.2</v>
      </c>
    </row>
    <row r="523" spans="1:11" x14ac:dyDescent="0.35">
      <c r="A523">
        <v>713750</v>
      </c>
      <c r="B523">
        <v>2044332</v>
      </c>
      <c r="C523" t="str">
        <f>"EAGLE-MTN SAGINAW IND SCH DIST"</f>
        <v>EAGLE-MTN SAGINAW IND SCH DIST</v>
      </c>
      <c r="D523" t="s">
        <v>11</v>
      </c>
      <c r="E523" t="s">
        <v>467</v>
      </c>
      <c r="F523" t="s">
        <v>468</v>
      </c>
      <c r="G523">
        <v>76179</v>
      </c>
      <c r="H523">
        <v>2010</v>
      </c>
      <c r="I523" s="1">
        <v>37440</v>
      </c>
      <c r="J523" s="1">
        <v>46800</v>
      </c>
      <c r="K523" s="1">
        <v>36232.26</v>
      </c>
    </row>
    <row r="524" spans="1:11" x14ac:dyDescent="0.35">
      <c r="A524">
        <v>713750</v>
      </c>
      <c r="B524">
        <v>2044338</v>
      </c>
      <c r="C524" t="str">
        <f>"EAGLE-MTN SAGINAW IND SCH DIST"</f>
        <v>EAGLE-MTN SAGINAW IND SCH DIST</v>
      </c>
      <c r="D524" t="s">
        <v>11</v>
      </c>
      <c r="E524" t="s">
        <v>467</v>
      </c>
      <c r="F524" t="s">
        <v>468</v>
      </c>
      <c r="G524">
        <v>76179</v>
      </c>
      <c r="H524">
        <v>2010</v>
      </c>
      <c r="I524" s="1">
        <v>13584</v>
      </c>
      <c r="J524" s="1">
        <v>16980</v>
      </c>
      <c r="K524" s="1">
        <v>13584</v>
      </c>
    </row>
    <row r="525" spans="1:11" x14ac:dyDescent="0.35">
      <c r="A525">
        <v>713750</v>
      </c>
      <c r="B525">
        <v>2044325</v>
      </c>
      <c r="C525" t="str">
        <f>"EAGLE-MTN SAGINAW IND SCH DIST"</f>
        <v>EAGLE-MTN SAGINAW IND SCH DIST</v>
      </c>
      <c r="D525" t="s">
        <v>11</v>
      </c>
      <c r="E525" t="s">
        <v>467</v>
      </c>
      <c r="F525" t="s">
        <v>468</v>
      </c>
      <c r="G525">
        <v>76179</v>
      </c>
      <c r="H525">
        <v>2010</v>
      </c>
      <c r="I525" s="1">
        <v>0</v>
      </c>
      <c r="J525" s="1">
        <v>62460</v>
      </c>
      <c r="K525" s="1">
        <v>0</v>
      </c>
    </row>
    <row r="526" spans="1:11" x14ac:dyDescent="0.35">
      <c r="A526">
        <v>713750</v>
      </c>
      <c r="B526">
        <v>2044352</v>
      </c>
      <c r="C526" t="str">
        <f>"EAGLE-MTN SAGINAW IND SCH DIST"</f>
        <v>EAGLE-MTN SAGINAW IND SCH DIST</v>
      </c>
      <c r="D526" t="s">
        <v>11</v>
      </c>
      <c r="E526" t="s">
        <v>467</v>
      </c>
      <c r="F526" t="s">
        <v>468</v>
      </c>
      <c r="G526">
        <v>76179</v>
      </c>
      <c r="H526">
        <v>2010</v>
      </c>
      <c r="I526" s="1">
        <v>4797.24</v>
      </c>
      <c r="J526" s="1">
        <v>5996.55</v>
      </c>
      <c r="K526" s="1">
        <v>4797.24</v>
      </c>
    </row>
    <row r="527" spans="1:11" x14ac:dyDescent="0.35">
      <c r="A527">
        <v>742954</v>
      </c>
      <c r="B527">
        <v>2005902</v>
      </c>
      <c r="C527" t="str">
        <f>"EAST BERNARD INDEP SCHOOL DIST"</f>
        <v>EAST BERNARD INDEP SCHOOL DIST</v>
      </c>
      <c r="D527" t="s">
        <v>11</v>
      </c>
      <c r="E527" t="s">
        <v>469</v>
      </c>
      <c r="F527" t="s">
        <v>470</v>
      </c>
      <c r="G527">
        <v>77435</v>
      </c>
      <c r="H527">
        <v>2010</v>
      </c>
      <c r="I527" s="1">
        <v>7372.8</v>
      </c>
      <c r="J527" s="1">
        <v>11520</v>
      </c>
      <c r="K527" s="1">
        <v>7372.8</v>
      </c>
    </row>
    <row r="528" spans="1:11" x14ac:dyDescent="0.35">
      <c r="A528">
        <v>742954</v>
      </c>
      <c r="B528">
        <v>2005933</v>
      </c>
      <c r="C528" t="str">
        <f>"EAST BERNARD INDEP SCHOOL DIST"</f>
        <v>EAST BERNARD INDEP SCHOOL DIST</v>
      </c>
      <c r="D528" t="s">
        <v>11</v>
      </c>
      <c r="E528" t="s">
        <v>469</v>
      </c>
      <c r="F528" t="s">
        <v>470</v>
      </c>
      <c r="G528">
        <v>77435</v>
      </c>
      <c r="H528">
        <v>2010</v>
      </c>
      <c r="I528" s="1">
        <v>3565.82</v>
      </c>
      <c r="J528" s="1">
        <v>5571.6</v>
      </c>
      <c r="K528" s="1">
        <v>3565.68</v>
      </c>
    </row>
    <row r="529" spans="1:11" x14ac:dyDescent="0.35">
      <c r="A529">
        <v>742954</v>
      </c>
      <c r="B529">
        <v>2005859</v>
      </c>
      <c r="C529" t="str">
        <f>"EAST BERNARD INDEP SCHOOL DIST"</f>
        <v>EAST BERNARD INDEP SCHOOL DIST</v>
      </c>
      <c r="D529" t="s">
        <v>11</v>
      </c>
      <c r="E529" t="s">
        <v>469</v>
      </c>
      <c r="F529" t="s">
        <v>470</v>
      </c>
      <c r="G529">
        <v>77435</v>
      </c>
      <c r="H529">
        <v>2010</v>
      </c>
      <c r="I529" s="1">
        <v>5760</v>
      </c>
      <c r="J529" s="1">
        <v>9000</v>
      </c>
      <c r="K529" s="1">
        <v>5248</v>
      </c>
    </row>
    <row r="530" spans="1:11" x14ac:dyDescent="0.35">
      <c r="A530">
        <v>714572</v>
      </c>
      <c r="B530">
        <v>1967126</v>
      </c>
      <c r="C530" t="str">
        <f>"EAST CENTRAL SCHOOL DISTRICT"</f>
        <v>EAST CENTRAL SCHOOL DISTRICT</v>
      </c>
      <c r="D530" t="s">
        <v>11</v>
      </c>
      <c r="E530" t="s">
        <v>471</v>
      </c>
      <c r="F530" t="s">
        <v>25</v>
      </c>
      <c r="G530">
        <v>78263</v>
      </c>
      <c r="H530">
        <v>2010</v>
      </c>
      <c r="I530" s="1">
        <v>70848</v>
      </c>
      <c r="J530" s="1">
        <v>86400</v>
      </c>
      <c r="K530" s="1">
        <v>70848</v>
      </c>
    </row>
    <row r="531" spans="1:11" x14ac:dyDescent="0.35">
      <c r="A531">
        <v>714572</v>
      </c>
      <c r="B531">
        <v>1967131</v>
      </c>
      <c r="C531" t="str">
        <f>"EAST CENTRAL SCHOOL DISTRICT"</f>
        <v>EAST CENTRAL SCHOOL DISTRICT</v>
      </c>
      <c r="D531" t="s">
        <v>11</v>
      </c>
      <c r="E531" t="s">
        <v>471</v>
      </c>
      <c r="F531" t="s">
        <v>25</v>
      </c>
      <c r="G531">
        <v>78263</v>
      </c>
      <c r="H531">
        <v>2010</v>
      </c>
      <c r="I531" s="1">
        <v>9200.4</v>
      </c>
      <c r="J531" s="1">
        <v>13090.35</v>
      </c>
      <c r="K531" s="1">
        <v>9200.4</v>
      </c>
    </row>
    <row r="532" spans="1:11" x14ac:dyDescent="0.35">
      <c r="A532">
        <v>714572</v>
      </c>
      <c r="B532">
        <v>2029680</v>
      </c>
      <c r="C532" t="str">
        <f>"EAST CENTRAL SCHOOL DISTRICT"</f>
        <v>EAST CENTRAL SCHOOL DISTRICT</v>
      </c>
      <c r="D532" t="s">
        <v>11</v>
      </c>
      <c r="E532" t="s">
        <v>471</v>
      </c>
      <c r="F532" t="s">
        <v>25</v>
      </c>
      <c r="G532">
        <v>78263</v>
      </c>
      <c r="H532">
        <v>2010</v>
      </c>
      <c r="I532" s="1">
        <v>0</v>
      </c>
      <c r="J532" s="1">
        <v>0</v>
      </c>
    </row>
    <row r="533" spans="1:11" x14ac:dyDescent="0.35">
      <c r="A533">
        <v>720413</v>
      </c>
      <c r="B533">
        <v>1955108</v>
      </c>
      <c r="C533" t="str">
        <f>"EAST CHAMBERS INDEP SCH DIST"</f>
        <v>EAST CHAMBERS INDEP SCH DIST</v>
      </c>
      <c r="D533" t="s">
        <v>11</v>
      </c>
      <c r="E533" t="s">
        <v>472</v>
      </c>
      <c r="F533" t="s">
        <v>473</v>
      </c>
      <c r="G533">
        <v>77665</v>
      </c>
      <c r="H533">
        <v>2010</v>
      </c>
      <c r="I533" s="1">
        <v>8518.14</v>
      </c>
      <c r="J533" s="1">
        <v>11997.38</v>
      </c>
      <c r="K533" s="1">
        <v>8518.14</v>
      </c>
    </row>
    <row r="534" spans="1:11" x14ac:dyDescent="0.35">
      <c r="A534">
        <v>714632</v>
      </c>
      <c r="B534">
        <v>1967309</v>
      </c>
      <c r="C534" t="str">
        <f>"EAST FORT WORTH MONTESSORI ACADEMY"</f>
        <v>EAST FORT WORTH MONTESSORI ACADEMY</v>
      </c>
      <c r="D534" t="s">
        <v>11</v>
      </c>
      <c r="E534" t="s">
        <v>474</v>
      </c>
      <c r="F534" t="s">
        <v>262</v>
      </c>
      <c r="G534">
        <v>76103</v>
      </c>
      <c r="H534">
        <v>2010</v>
      </c>
      <c r="I534" s="1">
        <v>6645.02</v>
      </c>
      <c r="J534" s="1">
        <v>7383.36</v>
      </c>
      <c r="K534" s="1">
        <v>6645.02</v>
      </c>
    </row>
    <row r="535" spans="1:11" x14ac:dyDescent="0.35">
      <c r="A535">
        <v>714632</v>
      </c>
      <c r="B535">
        <v>1967308</v>
      </c>
      <c r="C535" t="str">
        <f>"EAST FORT WORTH MONTESSORI ACADEMY"</f>
        <v>EAST FORT WORTH MONTESSORI ACADEMY</v>
      </c>
      <c r="D535" t="s">
        <v>11</v>
      </c>
      <c r="E535" t="s">
        <v>474</v>
      </c>
      <c r="F535" t="s">
        <v>262</v>
      </c>
      <c r="G535">
        <v>76103</v>
      </c>
      <c r="H535">
        <v>2010</v>
      </c>
      <c r="I535" s="1">
        <v>1147.5</v>
      </c>
      <c r="J535" s="1">
        <v>1275</v>
      </c>
      <c r="K535" s="1">
        <v>1147.5</v>
      </c>
    </row>
    <row r="536" spans="1:11" x14ac:dyDescent="0.35">
      <c r="A536">
        <v>720999</v>
      </c>
      <c r="B536">
        <v>1956768</v>
      </c>
      <c r="C536" t="str">
        <f>"EASTLAND INDEP SCHOOL DISTRICT"</f>
        <v>EASTLAND INDEP SCHOOL DISTRICT</v>
      </c>
      <c r="D536" t="s">
        <v>11</v>
      </c>
      <c r="E536" t="s">
        <v>475</v>
      </c>
      <c r="F536" t="s">
        <v>476</v>
      </c>
      <c r="G536">
        <v>76448</v>
      </c>
      <c r="H536">
        <v>2010</v>
      </c>
      <c r="I536" s="1">
        <v>1783.03</v>
      </c>
      <c r="J536" s="1">
        <v>2442.5</v>
      </c>
      <c r="K536" s="1">
        <v>1768.43</v>
      </c>
    </row>
    <row r="537" spans="1:11" x14ac:dyDescent="0.35">
      <c r="A537">
        <v>745515</v>
      </c>
      <c r="B537">
        <v>2012190</v>
      </c>
      <c r="C537" t="str">
        <f>"ECTOR COUNTY INDEPENDENT SCHOOL DISTRICT"</f>
        <v>ECTOR COUNTY INDEPENDENT SCHOOL DISTRICT</v>
      </c>
      <c r="D537" t="s">
        <v>11</v>
      </c>
      <c r="E537" t="s">
        <v>477</v>
      </c>
      <c r="F537" t="s">
        <v>478</v>
      </c>
      <c r="G537">
        <v>79761</v>
      </c>
      <c r="H537">
        <v>2010</v>
      </c>
      <c r="I537" s="1">
        <v>28470</v>
      </c>
      <c r="J537" s="1">
        <v>39000</v>
      </c>
      <c r="K537" s="1">
        <v>28470</v>
      </c>
    </row>
    <row r="538" spans="1:11" x14ac:dyDescent="0.35">
      <c r="A538">
        <v>769064</v>
      </c>
      <c r="B538">
        <v>2080489</v>
      </c>
      <c r="C538" t="str">
        <f>"ED WHITE MEMORIAL HIGH SCHOOL"</f>
        <v>ED WHITE MEMORIAL HIGH SCHOOL</v>
      </c>
      <c r="D538" t="s">
        <v>11</v>
      </c>
      <c r="E538" t="s">
        <v>479</v>
      </c>
      <c r="F538" t="s">
        <v>317</v>
      </c>
      <c r="G538">
        <v>77573</v>
      </c>
      <c r="H538">
        <v>2010</v>
      </c>
      <c r="I538" s="1">
        <v>1404</v>
      </c>
      <c r="J538" s="1">
        <v>2700</v>
      </c>
    </row>
    <row r="539" spans="1:11" x14ac:dyDescent="0.35">
      <c r="A539">
        <v>763980</v>
      </c>
      <c r="B539">
        <v>2067081</v>
      </c>
      <c r="C539" t="str">
        <f>"EDCOUCH-ELSA INDEP SCHOOL DIST"</f>
        <v>EDCOUCH-ELSA INDEP SCHOOL DIST</v>
      </c>
      <c r="D539" t="s">
        <v>11</v>
      </c>
      <c r="E539" t="s">
        <v>480</v>
      </c>
      <c r="F539" t="s">
        <v>481</v>
      </c>
      <c r="G539">
        <v>78538</v>
      </c>
      <c r="H539">
        <v>2010</v>
      </c>
      <c r="I539" s="1">
        <v>17280</v>
      </c>
      <c r="J539" s="1">
        <v>19200</v>
      </c>
      <c r="K539" s="1">
        <v>17280</v>
      </c>
    </row>
    <row r="540" spans="1:11" x14ac:dyDescent="0.35">
      <c r="A540">
        <v>746795</v>
      </c>
      <c r="B540">
        <v>2017034</v>
      </c>
      <c r="C540" t="str">
        <f>"EDGEWOOD INDEP SCHOOL DISTRICT"</f>
        <v>EDGEWOOD INDEP SCHOOL DISTRICT</v>
      </c>
      <c r="D540" t="s">
        <v>11</v>
      </c>
      <c r="E540" t="s">
        <v>482</v>
      </c>
      <c r="F540" t="s">
        <v>483</v>
      </c>
      <c r="G540">
        <v>75117</v>
      </c>
      <c r="H540">
        <v>2010</v>
      </c>
      <c r="I540" s="1">
        <v>5175</v>
      </c>
      <c r="J540" s="1">
        <v>6900</v>
      </c>
      <c r="K540" s="1">
        <v>5175</v>
      </c>
    </row>
    <row r="541" spans="1:11" x14ac:dyDescent="0.35">
      <c r="A541">
        <v>744834</v>
      </c>
      <c r="B541">
        <v>2052855</v>
      </c>
      <c r="C541" t="str">
        <f>"EDINBURG INDEP SCHOOL DISTRICT"</f>
        <v>EDINBURG INDEP SCHOOL DISTRICT</v>
      </c>
      <c r="D541" t="s">
        <v>11</v>
      </c>
      <c r="E541" t="s">
        <v>484</v>
      </c>
      <c r="F541" t="s">
        <v>485</v>
      </c>
      <c r="G541">
        <v>78541</v>
      </c>
      <c r="H541">
        <v>2010</v>
      </c>
      <c r="I541" s="1">
        <v>28978.47</v>
      </c>
      <c r="J541" s="1">
        <v>32560.080000000002</v>
      </c>
      <c r="K541" s="1">
        <v>28978.400000000001</v>
      </c>
    </row>
    <row r="542" spans="1:11" x14ac:dyDescent="0.35">
      <c r="A542">
        <v>744834</v>
      </c>
      <c r="B542">
        <v>2052854</v>
      </c>
      <c r="C542" t="str">
        <f>"EDINBURG INDEP SCHOOL DISTRICT"</f>
        <v>EDINBURG INDEP SCHOOL DISTRICT</v>
      </c>
      <c r="D542" t="s">
        <v>11</v>
      </c>
      <c r="E542" t="s">
        <v>484</v>
      </c>
      <c r="F542" t="s">
        <v>485</v>
      </c>
      <c r="G542">
        <v>78541</v>
      </c>
      <c r="H542">
        <v>2010</v>
      </c>
      <c r="I542" s="1">
        <v>86369.16</v>
      </c>
      <c r="J542" s="1">
        <v>97044</v>
      </c>
      <c r="K542" s="1">
        <v>86369.16</v>
      </c>
    </row>
    <row r="543" spans="1:11" x14ac:dyDescent="0.35">
      <c r="A543">
        <v>734382</v>
      </c>
      <c r="B543">
        <v>1985242</v>
      </c>
      <c r="C543" t="str">
        <f>"EDNA INDEP SCHOOL DISTRICT"</f>
        <v>EDNA INDEP SCHOOL DISTRICT</v>
      </c>
      <c r="D543" t="s">
        <v>11</v>
      </c>
      <c r="E543" t="s">
        <v>486</v>
      </c>
      <c r="F543" t="s">
        <v>487</v>
      </c>
      <c r="G543">
        <v>77957</v>
      </c>
      <c r="H543">
        <v>2010</v>
      </c>
      <c r="I543" s="1">
        <v>37006.199999999997</v>
      </c>
      <c r="J543" s="1">
        <v>48060</v>
      </c>
      <c r="K543" s="1">
        <v>27055</v>
      </c>
    </row>
    <row r="544" spans="1:11" x14ac:dyDescent="0.35">
      <c r="A544">
        <v>734382</v>
      </c>
      <c r="B544">
        <v>1988211</v>
      </c>
      <c r="C544" t="str">
        <f>"EDNA INDEP SCHOOL DISTRICT"</f>
        <v>EDNA INDEP SCHOOL DISTRICT</v>
      </c>
      <c r="D544" t="s">
        <v>11</v>
      </c>
      <c r="E544" t="s">
        <v>486</v>
      </c>
      <c r="F544" t="s">
        <v>487</v>
      </c>
      <c r="G544">
        <v>77957</v>
      </c>
      <c r="H544">
        <v>2010</v>
      </c>
      <c r="I544" s="1">
        <v>2310</v>
      </c>
      <c r="J544" s="1">
        <v>3000</v>
      </c>
      <c r="K544" s="1">
        <v>2310</v>
      </c>
    </row>
    <row r="545" spans="1:11" x14ac:dyDescent="0.35">
      <c r="A545">
        <v>751173</v>
      </c>
      <c r="B545">
        <v>2029293</v>
      </c>
      <c r="C545" t="str">
        <f>"EDUCATION SERV CTR-REGION 1"</f>
        <v>EDUCATION SERV CTR-REGION 1</v>
      </c>
      <c r="D545" t="s">
        <v>11</v>
      </c>
      <c r="E545" t="s">
        <v>488</v>
      </c>
      <c r="F545" t="s">
        <v>485</v>
      </c>
      <c r="G545">
        <v>78541</v>
      </c>
      <c r="H545">
        <v>2010</v>
      </c>
      <c r="I545" s="1">
        <v>7934.4</v>
      </c>
      <c r="J545" s="1">
        <v>9120</v>
      </c>
    </row>
    <row r="546" spans="1:11" x14ac:dyDescent="0.35">
      <c r="A546">
        <v>746726</v>
      </c>
      <c r="B546">
        <v>2026673</v>
      </c>
      <c r="C546" t="str">
        <f>"EDUCATION SERV CTR-REGION 17"</f>
        <v>EDUCATION SERV CTR-REGION 17</v>
      </c>
      <c r="D546" t="s">
        <v>11</v>
      </c>
      <c r="E546" t="s">
        <v>489</v>
      </c>
      <c r="F546" t="s">
        <v>490</v>
      </c>
      <c r="G546">
        <v>79416</v>
      </c>
      <c r="H546">
        <v>2010</v>
      </c>
      <c r="I546" s="1">
        <v>12120.3</v>
      </c>
      <c r="J546" s="1">
        <v>16160.4</v>
      </c>
      <c r="K546" s="1">
        <v>12120.3</v>
      </c>
    </row>
    <row r="547" spans="1:11" x14ac:dyDescent="0.35">
      <c r="A547">
        <v>708563</v>
      </c>
      <c r="B547">
        <v>1970315</v>
      </c>
      <c r="C547" t="str">
        <f>"EDUCATION SERVICE CENTER - REGION 12"</f>
        <v>EDUCATION SERVICE CENTER - REGION 12</v>
      </c>
      <c r="D547" t="s">
        <v>11</v>
      </c>
      <c r="E547" t="s">
        <v>491</v>
      </c>
      <c r="F547" t="s">
        <v>303</v>
      </c>
      <c r="G547">
        <v>76712</v>
      </c>
      <c r="H547">
        <v>2010</v>
      </c>
      <c r="I547" s="1">
        <v>9755.4</v>
      </c>
      <c r="J547" s="1">
        <v>13740</v>
      </c>
      <c r="K547" s="1">
        <v>8162.6</v>
      </c>
    </row>
    <row r="548" spans="1:11" x14ac:dyDescent="0.35">
      <c r="A548">
        <v>708563</v>
      </c>
      <c r="B548">
        <v>1971475</v>
      </c>
      <c r="C548" t="str">
        <f>"EDUCATION SERVICE CENTER - REGION 12"</f>
        <v>EDUCATION SERVICE CENTER - REGION 12</v>
      </c>
      <c r="D548" t="s">
        <v>11</v>
      </c>
      <c r="E548" t="s">
        <v>491</v>
      </c>
      <c r="F548" t="s">
        <v>303</v>
      </c>
      <c r="G548">
        <v>76712</v>
      </c>
      <c r="H548">
        <v>2010</v>
      </c>
      <c r="I548" s="1">
        <v>0</v>
      </c>
      <c r="J548" s="1">
        <v>0</v>
      </c>
    </row>
    <row r="549" spans="1:11" x14ac:dyDescent="0.35">
      <c r="A549">
        <v>743644</v>
      </c>
      <c r="B549">
        <v>2046321</v>
      </c>
      <c r="C549" t="str">
        <f>"EDUCATION SERVICE CENTER REGION XV"</f>
        <v>EDUCATION SERVICE CENTER REGION XV</v>
      </c>
      <c r="D549" t="s">
        <v>11</v>
      </c>
      <c r="E549" t="s">
        <v>492</v>
      </c>
      <c r="F549" t="s">
        <v>493</v>
      </c>
      <c r="G549">
        <v>76903</v>
      </c>
      <c r="H549">
        <v>2010</v>
      </c>
      <c r="I549" s="1">
        <v>3762</v>
      </c>
      <c r="J549" s="1">
        <v>5016</v>
      </c>
      <c r="K549" s="1">
        <v>3762</v>
      </c>
    </row>
    <row r="550" spans="1:11" x14ac:dyDescent="0.35">
      <c r="A550">
        <v>749206</v>
      </c>
      <c r="B550">
        <v>2024013</v>
      </c>
      <c r="C550" t="str">
        <f t="shared" ref="C550:C556" si="7">"EL CAMPO INDEP SCHOOL DISTRICT"</f>
        <v>EL CAMPO INDEP SCHOOL DISTRICT</v>
      </c>
      <c r="D550" t="s">
        <v>11</v>
      </c>
      <c r="E550" t="s">
        <v>494</v>
      </c>
      <c r="F550" t="s">
        <v>495</v>
      </c>
      <c r="G550">
        <v>77437</v>
      </c>
      <c r="H550">
        <v>2010</v>
      </c>
      <c r="I550" s="1">
        <v>21263.26</v>
      </c>
      <c r="J550" s="1">
        <v>25313.4</v>
      </c>
      <c r="K550" s="1">
        <v>21263.26</v>
      </c>
    </row>
    <row r="551" spans="1:11" x14ac:dyDescent="0.35">
      <c r="A551">
        <v>749206</v>
      </c>
      <c r="B551">
        <v>2024034</v>
      </c>
      <c r="C551" t="str">
        <f t="shared" si="7"/>
        <v>EL CAMPO INDEP SCHOOL DISTRICT</v>
      </c>
      <c r="D551" t="s">
        <v>11</v>
      </c>
      <c r="E551" t="s">
        <v>494</v>
      </c>
      <c r="F551" t="s">
        <v>495</v>
      </c>
      <c r="G551">
        <v>77437</v>
      </c>
      <c r="H551">
        <v>2010</v>
      </c>
      <c r="I551" s="1">
        <v>19809.72</v>
      </c>
      <c r="J551" s="1">
        <v>23583</v>
      </c>
      <c r="K551" s="1">
        <v>19809.72</v>
      </c>
    </row>
    <row r="552" spans="1:11" x14ac:dyDescent="0.35">
      <c r="A552">
        <v>751859</v>
      </c>
      <c r="B552">
        <v>2036004</v>
      </c>
      <c r="C552" t="str">
        <f t="shared" si="7"/>
        <v>EL CAMPO INDEP SCHOOL DISTRICT</v>
      </c>
      <c r="D552" t="s">
        <v>11</v>
      </c>
      <c r="E552" t="s">
        <v>494</v>
      </c>
      <c r="F552" t="s">
        <v>495</v>
      </c>
      <c r="G552">
        <v>77437</v>
      </c>
      <c r="H552">
        <v>2010</v>
      </c>
      <c r="I552" s="1">
        <v>15120</v>
      </c>
      <c r="J552" s="1">
        <v>18000</v>
      </c>
      <c r="K552" s="1">
        <v>6888</v>
      </c>
    </row>
    <row r="553" spans="1:11" x14ac:dyDescent="0.35">
      <c r="A553">
        <v>751859</v>
      </c>
      <c r="B553">
        <v>2035900</v>
      </c>
      <c r="C553" t="str">
        <f t="shared" si="7"/>
        <v>EL CAMPO INDEP SCHOOL DISTRICT</v>
      </c>
      <c r="D553" t="s">
        <v>11</v>
      </c>
      <c r="E553" t="s">
        <v>494</v>
      </c>
      <c r="F553" t="s">
        <v>495</v>
      </c>
      <c r="G553">
        <v>77437</v>
      </c>
      <c r="H553">
        <v>2010</v>
      </c>
      <c r="I553" s="1">
        <v>5031.28</v>
      </c>
      <c r="J553" s="1">
        <v>5989.62</v>
      </c>
      <c r="K553" s="1">
        <v>5031.28</v>
      </c>
    </row>
    <row r="554" spans="1:11" x14ac:dyDescent="0.35">
      <c r="A554">
        <v>751859</v>
      </c>
      <c r="B554">
        <v>2035823</v>
      </c>
      <c r="C554" t="str">
        <f t="shared" si="7"/>
        <v>EL CAMPO INDEP SCHOOL DISTRICT</v>
      </c>
      <c r="D554" t="s">
        <v>11</v>
      </c>
      <c r="E554" t="s">
        <v>494</v>
      </c>
      <c r="F554" t="s">
        <v>495</v>
      </c>
      <c r="G554">
        <v>77437</v>
      </c>
      <c r="H554">
        <v>2010</v>
      </c>
      <c r="I554" s="1">
        <v>1431.36</v>
      </c>
      <c r="J554" s="1">
        <v>1704</v>
      </c>
      <c r="K554" s="1">
        <v>1264.94</v>
      </c>
    </row>
    <row r="555" spans="1:11" x14ac:dyDescent="0.35">
      <c r="A555">
        <v>751859</v>
      </c>
      <c r="B555">
        <v>2036095</v>
      </c>
      <c r="C555" t="str">
        <f t="shared" si="7"/>
        <v>EL CAMPO INDEP SCHOOL DISTRICT</v>
      </c>
      <c r="D555" t="s">
        <v>11</v>
      </c>
      <c r="E555" t="s">
        <v>494</v>
      </c>
      <c r="F555" t="s">
        <v>495</v>
      </c>
      <c r="G555">
        <v>77437</v>
      </c>
      <c r="H555">
        <v>2010</v>
      </c>
      <c r="I555" s="1">
        <v>4032</v>
      </c>
      <c r="J555" s="1">
        <v>4800</v>
      </c>
      <c r="K555" s="1">
        <v>3628.8</v>
      </c>
    </row>
    <row r="556" spans="1:11" x14ac:dyDescent="0.35">
      <c r="A556">
        <v>751859</v>
      </c>
      <c r="B556">
        <v>2035945</v>
      </c>
      <c r="C556" t="str">
        <f t="shared" si="7"/>
        <v>EL CAMPO INDEP SCHOOL DISTRICT</v>
      </c>
      <c r="D556" t="s">
        <v>11</v>
      </c>
      <c r="E556" t="s">
        <v>494</v>
      </c>
      <c r="F556" t="s">
        <v>495</v>
      </c>
      <c r="G556">
        <v>77437</v>
      </c>
      <c r="H556">
        <v>2010</v>
      </c>
      <c r="I556" s="1">
        <v>11592</v>
      </c>
      <c r="J556" s="1">
        <v>13800</v>
      </c>
      <c r="K556" s="1">
        <v>10584</v>
      </c>
    </row>
    <row r="557" spans="1:11" x14ac:dyDescent="0.35">
      <c r="A557">
        <v>760169</v>
      </c>
      <c r="B557">
        <v>2053916</v>
      </c>
      <c r="C557" t="str">
        <f>"EL PASO INDEP SCHOOL DISTRICT"</f>
        <v>EL PASO INDEP SCHOOL DISTRICT</v>
      </c>
      <c r="D557" t="s">
        <v>11</v>
      </c>
      <c r="E557" t="s">
        <v>496</v>
      </c>
      <c r="F557" t="s">
        <v>497</v>
      </c>
      <c r="G557">
        <v>79998</v>
      </c>
      <c r="H557">
        <v>2010</v>
      </c>
      <c r="I557" s="1">
        <v>61398.93</v>
      </c>
      <c r="J557" s="1">
        <v>77720.160000000003</v>
      </c>
      <c r="K557" s="1">
        <v>61398.93</v>
      </c>
    </row>
    <row r="558" spans="1:11" x14ac:dyDescent="0.35">
      <c r="A558">
        <v>760169</v>
      </c>
      <c r="B558">
        <v>2053920</v>
      </c>
      <c r="C558" t="str">
        <f>"EL PASO INDEP SCHOOL DISTRICT"</f>
        <v>EL PASO INDEP SCHOOL DISTRICT</v>
      </c>
      <c r="D558" t="s">
        <v>11</v>
      </c>
      <c r="E558" t="s">
        <v>496</v>
      </c>
      <c r="F558" t="s">
        <v>497</v>
      </c>
      <c r="G558">
        <v>79998</v>
      </c>
      <c r="H558">
        <v>2010</v>
      </c>
      <c r="I558" s="1">
        <v>59250</v>
      </c>
      <c r="J558" s="1">
        <v>75000</v>
      </c>
      <c r="K558" s="1">
        <v>59250</v>
      </c>
    </row>
    <row r="559" spans="1:11" x14ac:dyDescent="0.35">
      <c r="A559">
        <v>750249</v>
      </c>
      <c r="B559">
        <v>2026993</v>
      </c>
      <c r="C559" t="str">
        <f>"ELECTRA INDEP SCHOOL DISTRICT"</f>
        <v>ELECTRA INDEP SCHOOL DISTRICT</v>
      </c>
      <c r="D559" t="s">
        <v>11</v>
      </c>
      <c r="E559" t="s">
        <v>498</v>
      </c>
      <c r="F559" t="s">
        <v>499</v>
      </c>
      <c r="G559">
        <v>76360</v>
      </c>
      <c r="H559">
        <v>2010</v>
      </c>
      <c r="I559" s="1">
        <v>7449.88</v>
      </c>
      <c r="J559" s="1">
        <v>10067.4</v>
      </c>
      <c r="K559" s="1">
        <v>6135.19</v>
      </c>
    </row>
    <row r="560" spans="1:11" x14ac:dyDescent="0.35">
      <c r="A560">
        <v>745295</v>
      </c>
      <c r="B560">
        <v>2012376</v>
      </c>
      <c r="C560" t="str">
        <f>"ELGIN INDEP SCHOOL DISTRICT"</f>
        <v>ELGIN INDEP SCHOOL DISTRICT</v>
      </c>
      <c r="D560" t="s">
        <v>11</v>
      </c>
      <c r="E560" t="s">
        <v>500</v>
      </c>
      <c r="F560" t="s">
        <v>501</v>
      </c>
      <c r="G560">
        <v>78621</v>
      </c>
      <c r="H560">
        <v>2010</v>
      </c>
      <c r="I560" s="1">
        <v>4022.1</v>
      </c>
      <c r="J560" s="1">
        <v>4905</v>
      </c>
      <c r="K560" s="1">
        <v>4022.1</v>
      </c>
    </row>
    <row r="561" spans="1:11" x14ac:dyDescent="0.35">
      <c r="A561">
        <v>739733</v>
      </c>
      <c r="B561">
        <v>2003050</v>
      </c>
      <c r="C561" t="str">
        <f>"ELGIN INDEP SCHOOL DISTRICT"</f>
        <v>ELGIN INDEP SCHOOL DISTRICT</v>
      </c>
      <c r="D561" t="s">
        <v>11</v>
      </c>
      <c r="E561" t="s">
        <v>500</v>
      </c>
      <c r="F561" t="s">
        <v>501</v>
      </c>
      <c r="G561">
        <v>78621</v>
      </c>
      <c r="H561">
        <v>2010</v>
      </c>
      <c r="I561" s="1">
        <v>57072</v>
      </c>
      <c r="J561" s="1">
        <v>69600</v>
      </c>
      <c r="K561" s="1">
        <v>31980</v>
      </c>
    </row>
    <row r="562" spans="1:11" x14ac:dyDescent="0.35">
      <c r="A562">
        <v>746188</v>
      </c>
      <c r="B562">
        <v>2013978</v>
      </c>
      <c r="C562" t="str">
        <f>"ELGIN INDEP SCHOOL DISTRICT"</f>
        <v>ELGIN INDEP SCHOOL DISTRICT</v>
      </c>
      <c r="D562" t="s">
        <v>11</v>
      </c>
      <c r="E562" t="s">
        <v>500</v>
      </c>
      <c r="F562" t="s">
        <v>501</v>
      </c>
      <c r="G562">
        <v>78621</v>
      </c>
      <c r="H562">
        <v>2010</v>
      </c>
      <c r="I562" s="1">
        <v>0</v>
      </c>
      <c r="J562" s="1">
        <v>0</v>
      </c>
    </row>
    <row r="563" spans="1:11" x14ac:dyDescent="0.35">
      <c r="A563">
        <v>740379</v>
      </c>
      <c r="B563">
        <v>1999451</v>
      </c>
      <c r="C563" t="str">
        <f>"ELKHART INDEP SCHOOL DISTRICT"</f>
        <v>ELKHART INDEP SCHOOL DISTRICT</v>
      </c>
      <c r="D563" t="s">
        <v>11</v>
      </c>
      <c r="E563" t="s">
        <v>502</v>
      </c>
      <c r="F563" t="s">
        <v>503</v>
      </c>
      <c r="G563">
        <v>75839</v>
      </c>
      <c r="H563">
        <v>2010</v>
      </c>
      <c r="I563" s="1">
        <v>4500</v>
      </c>
      <c r="J563" s="1">
        <v>6000</v>
      </c>
      <c r="K563" s="1">
        <v>4500</v>
      </c>
    </row>
    <row r="564" spans="1:11" x14ac:dyDescent="0.35">
      <c r="A564">
        <v>748203</v>
      </c>
      <c r="B564">
        <v>2020314</v>
      </c>
      <c r="C564" t="str">
        <f>"ENNIS INDEP SCHOOL DISTRICT"</f>
        <v>ENNIS INDEP SCHOOL DISTRICT</v>
      </c>
      <c r="D564" t="s">
        <v>11</v>
      </c>
      <c r="E564" t="s">
        <v>504</v>
      </c>
      <c r="F564" t="s">
        <v>505</v>
      </c>
      <c r="G564">
        <v>75119</v>
      </c>
      <c r="H564">
        <v>2010</v>
      </c>
      <c r="I564" s="1">
        <v>8128.13</v>
      </c>
      <c r="J564" s="1">
        <v>10837.5</v>
      </c>
    </row>
    <row r="565" spans="1:11" x14ac:dyDescent="0.35">
      <c r="A565">
        <v>748203</v>
      </c>
      <c r="B565">
        <v>2020241</v>
      </c>
      <c r="C565" t="str">
        <f>"ENNIS INDEP SCHOOL DISTRICT"</f>
        <v>ENNIS INDEP SCHOOL DISTRICT</v>
      </c>
      <c r="D565" t="s">
        <v>11</v>
      </c>
      <c r="E565" t="s">
        <v>504</v>
      </c>
      <c r="F565" t="s">
        <v>505</v>
      </c>
      <c r="G565">
        <v>75119</v>
      </c>
      <c r="H565">
        <v>2010</v>
      </c>
      <c r="I565" s="1">
        <v>66071.25</v>
      </c>
      <c r="J565" s="1">
        <v>88095</v>
      </c>
      <c r="K565" s="1">
        <v>60471.22</v>
      </c>
    </row>
    <row r="566" spans="1:11" x14ac:dyDescent="0.35">
      <c r="A566">
        <v>746744</v>
      </c>
      <c r="B566">
        <v>2015902</v>
      </c>
      <c r="C566" t="str">
        <f>"ETOILE INDEP SCHOOL DISTRICT"</f>
        <v>ETOILE INDEP SCHOOL DISTRICT</v>
      </c>
      <c r="D566" t="s">
        <v>11</v>
      </c>
      <c r="E566" t="s">
        <v>506</v>
      </c>
      <c r="F566" t="s">
        <v>507</v>
      </c>
      <c r="G566">
        <v>75944</v>
      </c>
      <c r="H566">
        <v>2010</v>
      </c>
      <c r="I566" s="1">
        <v>5760</v>
      </c>
      <c r="J566" s="1">
        <v>7200</v>
      </c>
      <c r="K566" s="1">
        <v>5760</v>
      </c>
    </row>
    <row r="567" spans="1:11" x14ac:dyDescent="0.35">
      <c r="A567">
        <v>762389</v>
      </c>
      <c r="B567">
        <v>2069335</v>
      </c>
      <c r="C567" t="str">
        <f>"EUSTACE INDEPENDENT SCHOOL DISTRICT"</f>
        <v>EUSTACE INDEPENDENT SCHOOL DISTRICT</v>
      </c>
      <c r="D567" t="s">
        <v>11</v>
      </c>
      <c r="E567" t="s">
        <v>508</v>
      </c>
      <c r="F567" t="s">
        <v>509</v>
      </c>
      <c r="G567">
        <v>75124</v>
      </c>
      <c r="H567">
        <v>2010</v>
      </c>
      <c r="I567" s="1">
        <v>7470</v>
      </c>
      <c r="J567" s="1">
        <v>9000</v>
      </c>
      <c r="K567" s="1">
        <v>7470</v>
      </c>
    </row>
    <row r="568" spans="1:11" x14ac:dyDescent="0.35">
      <c r="A568">
        <v>762389</v>
      </c>
      <c r="B568">
        <v>2069454</v>
      </c>
      <c r="C568" t="str">
        <f>"EUSTACE INDEPENDENT SCHOOL DISTRICT"</f>
        <v>EUSTACE INDEPENDENT SCHOOL DISTRICT</v>
      </c>
      <c r="D568" t="s">
        <v>11</v>
      </c>
      <c r="E568" t="s">
        <v>508</v>
      </c>
      <c r="F568" t="s">
        <v>509</v>
      </c>
      <c r="G568">
        <v>75124</v>
      </c>
      <c r="H568">
        <v>2010</v>
      </c>
      <c r="I568" s="1">
        <v>995.4</v>
      </c>
      <c r="J568" s="1">
        <v>1199.28</v>
      </c>
      <c r="K568" s="1">
        <v>995.4</v>
      </c>
    </row>
    <row r="569" spans="1:11" x14ac:dyDescent="0.35">
      <c r="A569">
        <v>762389</v>
      </c>
      <c r="B569">
        <v>2069519</v>
      </c>
      <c r="C569" t="str">
        <f>"EUSTACE INDEPENDENT SCHOOL DISTRICT"</f>
        <v>EUSTACE INDEPENDENT SCHOOL DISTRICT</v>
      </c>
      <c r="D569" t="s">
        <v>11</v>
      </c>
      <c r="E569" t="s">
        <v>508</v>
      </c>
      <c r="F569" t="s">
        <v>509</v>
      </c>
      <c r="G569">
        <v>75124</v>
      </c>
      <c r="H569">
        <v>2010</v>
      </c>
      <c r="I569" s="1">
        <v>1668.3</v>
      </c>
      <c r="J569" s="1">
        <v>2010</v>
      </c>
      <c r="K569" s="1">
        <v>834.15</v>
      </c>
    </row>
    <row r="570" spans="1:11" x14ac:dyDescent="0.35">
      <c r="A570">
        <v>762389</v>
      </c>
      <c r="B570">
        <v>2069493</v>
      </c>
      <c r="C570" t="str">
        <f>"EUSTACE INDEPENDENT SCHOOL DISTRICT"</f>
        <v>EUSTACE INDEPENDENT SCHOOL DISTRICT</v>
      </c>
      <c r="D570" t="s">
        <v>11</v>
      </c>
      <c r="E570" t="s">
        <v>508</v>
      </c>
      <c r="F570" t="s">
        <v>509</v>
      </c>
      <c r="G570">
        <v>75124</v>
      </c>
      <c r="H570">
        <v>2010</v>
      </c>
      <c r="I570" s="1">
        <v>18162.89</v>
      </c>
      <c r="J570" s="1">
        <v>21883</v>
      </c>
      <c r="K570" s="1">
        <v>15064.5</v>
      </c>
    </row>
    <row r="571" spans="1:11" x14ac:dyDescent="0.35">
      <c r="A571">
        <v>729988</v>
      </c>
      <c r="B571">
        <v>1995827</v>
      </c>
      <c r="C571" t="str">
        <f>"EVADALE INDEP SCHOOL DISTRICT"</f>
        <v>EVADALE INDEP SCHOOL DISTRICT</v>
      </c>
      <c r="D571" t="s">
        <v>11</v>
      </c>
      <c r="E571" t="s">
        <v>510</v>
      </c>
      <c r="F571" t="s">
        <v>511</v>
      </c>
      <c r="G571">
        <v>77615</v>
      </c>
      <c r="H571">
        <v>2010</v>
      </c>
      <c r="I571" s="1">
        <v>1566</v>
      </c>
      <c r="J571" s="1">
        <v>2610</v>
      </c>
      <c r="K571" s="1">
        <v>1566</v>
      </c>
    </row>
    <row r="572" spans="1:11" x14ac:dyDescent="0.35">
      <c r="A572">
        <v>745088</v>
      </c>
      <c r="B572">
        <v>2065944</v>
      </c>
      <c r="C572" t="str">
        <f>"EVANT INDEP SCHOOL DISTRICT"</f>
        <v>EVANT INDEP SCHOOL DISTRICT</v>
      </c>
      <c r="D572" t="s">
        <v>11</v>
      </c>
      <c r="E572" t="s">
        <v>512</v>
      </c>
      <c r="F572" t="s">
        <v>513</v>
      </c>
      <c r="G572">
        <v>76525</v>
      </c>
      <c r="H572">
        <v>2010</v>
      </c>
      <c r="I572" s="1">
        <v>256</v>
      </c>
      <c r="J572" s="1">
        <v>320</v>
      </c>
      <c r="K572" s="1">
        <v>256</v>
      </c>
    </row>
    <row r="573" spans="1:11" x14ac:dyDescent="0.35">
      <c r="A573">
        <v>745088</v>
      </c>
      <c r="B573">
        <v>2042415</v>
      </c>
      <c r="C573" t="str">
        <f>"EVANT INDEP SCHOOL DISTRICT"</f>
        <v>EVANT INDEP SCHOOL DISTRICT</v>
      </c>
      <c r="D573" t="s">
        <v>11</v>
      </c>
      <c r="E573" t="s">
        <v>512</v>
      </c>
      <c r="F573" t="s">
        <v>513</v>
      </c>
      <c r="G573">
        <v>76525</v>
      </c>
      <c r="H573">
        <v>2010</v>
      </c>
      <c r="I573" s="1">
        <v>7343.52</v>
      </c>
      <c r="J573" s="1">
        <v>9179.4</v>
      </c>
      <c r="K573" s="1">
        <v>7343.52</v>
      </c>
    </row>
    <row r="574" spans="1:11" x14ac:dyDescent="0.35">
      <c r="A574">
        <v>714839</v>
      </c>
      <c r="B574">
        <v>1987982</v>
      </c>
      <c r="C574" t="str">
        <f t="shared" ref="C574:C579" si="8">"EVERMAN INDEP SCHOOL DISTRICT"</f>
        <v>EVERMAN INDEP SCHOOL DISTRICT</v>
      </c>
      <c r="D574" t="s">
        <v>11</v>
      </c>
      <c r="E574" t="s">
        <v>514</v>
      </c>
      <c r="F574" t="s">
        <v>515</v>
      </c>
      <c r="G574">
        <v>76140</v>
      </c>
      <c r="H574">
        <v>2010</v>
      </c>
      <c r="I574" s="1">
        <v>4169.28</v>
      </c>
      <c r="J574" s="1">
        <v>5664</v>
      </c>
      <c r="K574" s="1">
        <v>4169.28</v>
      </c>
    </row>
    <row r="575" spans="1:11" x14ac:dyDescent="0.35">
      <c r="A575">
        <v>714839</v>
      </c>
      <c r="B575">
        <v>1987430</v>
      </c>
      <c r="C575" t="str">
        <f t="shared" si="8"/>
        <v>EVERMAN INDEP SCHOOL DISTRICT</v>
      </c>
      <c r="D575" t="s">
        <v>11</v>
      </c>
      <c r="E575" t="s">
        <v>514</v>
      </c>
      <c r="F575" t="s">
        <v>515</v>
      </c>
      <c r="G575">
        <v>76140</v>
      </c>
      <c r="H575">
        <v>2010</v>
      </c>
      <c r="I575" s="1">
        <v>19133.28</v>
      </c>
      <c r="J575" s="1">
        <v>22248</v>
      </c>
      <c r="K575" s="1">
        <v>19133.28</v>
      </c>
    </row>
    <row r="576" spans="1:11" x14ac:dyDescent="0.35">
      <c r="A576">
        <v>714839</v>
      </c>
      <c r="B576">
        <v>1987970</v>
      </c>
      <c r="C576" t="str">
        <f t="shared" si="8"/>
        <v>EVERMAN INDEP SCHOOL DISTRICT</v>
      </c>
      <c r="D576" t="s">
        <v>11</v>
      </c>
      <c r="E576" t="s">
        <v>514</v>
      </c>
      <c r="F576" t="s">
        <v>515</v>
      </c>
      <c r="G576">
        <v>76140</v>
      </c>
      <c r="H576">
        <v>2010</v>
      </c>
      <c r="I576" s="1">
        <v>12755.52</v>
      </c>
      <c r="J576" s="1">
        <v>14832</v>
      </c>
      <c r="K576" s="1">
        <v>12755.52</v>
      </c>
    </row>
    <row r="577" spans="1:11" x14ac:dyDescent="0.35">
      <c r="A577">
        <v>714839</v>
      </c>
      <c r="B577">
        <v>1987432</v>
      </c>
      <c r="C577" t="str">
        <f t="shared" si="8"/>
        <v>EVERMAN INDEP SCHOOL DISTRICT</v>
      </c>
      <c r="D577" t="s">
        <v>11</v>
      </c>
      <c r="E577" t="s">
        <v>514</v>
      </c>
      <c r="F577" t="s">
        <v>515</v>
      </c>
      <c r="G577">
        <v>76140</v>
      </c>
      <c r="H577">
        <v>2010</v>
      </c>
      <c r="I577" s="1">
        <v>8426.93</v>
      </c>
      <c r="J577" s="1">
        <v>9798.75</v>
      </c>
      <c r="K577" s="1">
        <v>8059.27</v>
      </c>
    </row>
    <row r="578" spans="1:11" x14ac:dyDescent="0.35">
      <c r="A578">
        <v>714839</v>
      </c>
      <c r="B578">
        <v>1987436</v>
      </c>
      <c r="C578" t="str">
        <f t="shared" si="8"/>
        <v>EVERMAN INDEP SCHOOL DISTRICT</v>
      </c>
      <c r="D578" t="s">
        <v>11</v>
      </c>
      <c r="E578" t="s">
        <v>514</v>
      </c>
      <c r="F578" t="s">
        <v>515</v>
      </c>
      <c r="G578">
        <v>76140</v>
      </c>
      <c r="H578">
        <v>2010</v>
      </c>
      <c r="I578" s="1">
        <v>2347.8000000000002</v>
      </c>
      <c r="J578" s="1">
        <v>2730</v>
      </c>
      <c r="K578" s="1">
        <v>2347.8000000000002</v>
      </c>
    </row>
    <row r="579" spans="1:11" x14ac:dyDescent="0.35">
      <c r="A579">
        <v>714839</v>
      </c>
      <c r="B579">
        <v>1987427</v>
      </c>
      <c r="C579" t="str">
        <f t="shared" si="8"/>
        <v>EVERMAN INDEP SCHOOL DISTRICT</v>
      </c>
      <c r="D579" t="s">
        <v>11</v>
      </c>
      <c r="E579" t="s">
        <v>514</v>
      </c>
      <c r="F579" t="s">
        <v>515</v>
      </c>
      <c r="G579">
        <v>76140</v>
      </c>
      <c r="H579">
        <v>2010</v>
      </c>
      <c r="I579" s="1">
        <v>4138.32</v>
      </c>
      <c r="J579" s="1">
        <v>4812</v>
      </c>
      <c r="K579" s="1">
        <v>4138.32</v>
      </c>
    </row>
    <row r="580" spans="1:11" x14ac:dyDescent="0.35">
      <c r="A580">
        <v>715125</v>
      </c>
      <c r="B580">
        <v>1946540</v>
      </c>
      <c r="C580" t="str">
        <f>"EXCELSIOR INDEP SCHOOL DIST"</f>
        <v>EXCELSIOR INDEP SCHOOL DIST</v>
      </c>
      <c r="D580" t="s">
        <v>11</v>
      </c>
      <c r="E580" t="s">
        <v>516</v>
      </c>
      <c r="F580" t="s">
        <v>270</v>
      </c>
      <c r="G580">
        <v>75935</v>
      </c>
      <c r="H580">
        <v>2010</v>
      </c>
      <c r="I580" s="1">
        <v>6940.8</v>
      </c>
      <c r="J580" s="1">
        <v>8676</v>
      </c>
      <c r="K580" s="1">
        <v>2880</v>
      </c>
    </row>
    <row r="581" spans="1:11" x14ac:dyDescent="0.35">
      <c r="A581">
        <v>743744</v>
      </c>
      <c r="B581">
        <v>2008329</v>
      </c>
      <c r="C581" t="str">
        <f>"FABENS INDEP SCHOOL DISTRICT"</f>
        <v>FABENS INDEP SCHOOL DISTRICT</v>
      </c>
      <c r="D581" t="s">
        <v>11</v>
      </c>
      <c r="E581" t="s">
        <v>517</v>
      </c>
      <c r="F581" t="s">
        <v>518</v>
      </c>
      <c r="G581">
        <v>79838</v>
      </c>
      <c r="H581">
        <v>2010</v>
      </c>
      <c r="I581" s="1">
        <v>4590</v>
      </c>
      <c r="J581" s="1">
        <v>5100</v>
      </c>
      <c r="K581" s="1">
        <v>4590</v>
      </c>
    </row>
    <row r="582" spans="1:11" x14ac:dyDescent="0.35">
      <c r="A582">
        <v>743744</v>
      </c>
      <c r="B582">
        <v>2008224</v>
      </c>
      <c r="C582" t="str">
        <f>"FABENS INDEP SCHOOL DISTRICT"</f>
        <v>FABENS INDEP SCHOOL DISTRICT</v>
      </c>
      <c r="D582" t="s">
        <v>11</v>
      </c>
      <c r="E582" t="s">
        <v>517</v>
      </c>
      <c r="F582" t="s">
        <v>518</v>
      </c>
      <c r="G582">
        <v>79838</v>
      </c>
      <c r="H582">
        <v>2010</v>
      </c>
      <c r="I582" s="1">
        <v>14039.46</v>
      </c>
      <c r="J582" s="1">
        <v>15599.4</v>
      </c>
      <c r="K582" s="1">
        <v>14039.46</v>
      </c>
    </row>
    <row r="583" spans="1:11" x14ac:dyDescent="0.35">
      <c r="A583">
        <v>726921</v>
      </c>
      <c r="B583">
        <v>2053576</v>
      </c>
      <c r="C583" t="str">
        <f>"FAIRFIELD INDEP SCHOOL DIST"</f>
        <v>FAIRFIELD INDEP SCHOOL DIST</v>
      </c>
      <c r="D583" t="s">
        <v>11</v>
      </c>
      <c r="E583" t="s">
        <v>519</v>
      </c>
      <c r="F583" t="s">
        <v>520</v>
      </c>
      <c r="G583">
        <v>75840</v>
      </c>
      <c r="H583">
        <v>2010</v>
      </c>
      <c r="I583" s="1">
        <v>9240</v>
      </c>
      <c r="J583" s="1">
        <v>12000</v>
      </c>
      <c r="K583" s="1">
        <v>8463.84</v>
      </c>
    </row>
    <row r="584" spans="1:11" x14ac:dyDescent="0.35">
      <c r="A584">
        <v>726921</v>
      </c>
      <c r="B584">
        <v>2053589</v>
      </c>
      <c r="C584" t="str">
        <f>"FAIRFIELD INDEP SCHOOL DIST"</f>
        <v>FAIRFIELD INDEP SCHOOL DIST</v>
      </c>
      <c r="D584" t="s">
        <v>11</v>
      </c>
      <c r="E584" t="s">
        <v>519</v>
      </c>
      <c r="F584" t="s">
        <v>520</v>
      </c>
      <c r="G584">
        <v>75840</v>
      </c>
      <c r="H584">
        <v>2010</v>
      </c>
      <c r="I584" s="1">
        <v>2642.64</v>
      </c>
      <c r="J584" s="1">
        <v>3432</v>
      </c>
      <c r="K584" s="1">
        <v>2642.64</v>
      </c>
    </row>
    <row r="585" spans="1:11" x14ac:dyDescent="0.35">
      <c r="A585">
        <v>726921</v>
      </c>
      <c r="B585">
        <v>2053567</v>
      </c>
      <c r="C585" t="str">
        <f>"FAIRFIELD INDEP SCHOOL DIST"</f>
        <v>FAIRFIELD INDEP SCHOOL DIST</v>
      </c>
      <c r="D585" t="s">
        <v>11</v>
      </c>
      <c r="E585" t="s">
        <v>519</v>
      </c>
      <c r="F585" t="s">
        <v>520</v>
      </c>
      <c r="G585">
        <v>75840</v>
      </c>
      <c r="H585">
        <v>2010</v>
      </c>
      <c r="I585" s="1">
        <v>5005.03</v>
      </c>
      <c r="J585" s="1">
        <v>6500.04</v>
      </c>
      <c r="K585" s="1">
        <v>5005.03</v>
      </c>
    </row>
    <row r="586" spans="1:11" x14ac:dyDescent="0.35">
      <c r="A586">
        <v>726921</v>
      </c>
      <c r="B586">
        <v>2053979</v>
      </c>
      <c r="C586" t="str">
        <f>"FAIRFIELD INDEP SCHOOL DIST"</f>
        <v>FAIRFIELD INDEP SCHOOL DIST</v>
      </c>
      <c r="D586" t="s">
        <v>11</v>
      </c>
      <c r="E586" t="s">
        <v>519</v>
      </c>
      <c r="F586" t="s">
        <v>520</v>
      </c>
      <c r="G586">
        <v>75840</v>
      </c>
      <c r="H586">
        <v>2010</v>
      </c>
      <c r="I586" s="1">
        <v>415.8</v>
      </c>
      <c r="J586" s="1">
        <v>540</v>
      </c>
      <c r="K586" s="1">
        <v>369.14</v>
      </c>
    </row>
    <row r="587" spans="1:11" x14ac:dyDescent="0.35">
      <c r="A587">
        <v>729177</v>
      </c>
      <c r="B587">
        <v>1972686</v>
      </c>
      <c r="C587" t="str">
        <f>"FALLS CITY INDEP SCHOOL DIST"</f>
        <v>FALLS CITY INDEP SCHOOL DIST</v>
      </c>
      <c r="D587" t="s">
        <v>11</v>
      </c>
      <c r="E587" t="s">
        <v>521</v>
      </c>
      <c r="F587" t="s">
        <v>522</v>
      </c>
      <c r="G587">
        <v>78113</v>
      </c>
      <c r="H587">
        <v>2010</v>
      </c>
      <c r="I587" s="1">
        <v>4950</v>
      </c>
      <c r="J587" s="1">
        <v>9000</v>
      </c>
      <c r="K587" s="1">
        <v>4510</v>
      </c>
    </row>
    <row r="588" spans="1:11" x14ac:dyDescent="0.35">
      <c r="A588">
        <v>767070</v>
      </c>
      <c r="B588">
        <v>2073939</v>
      </c>
      <c r="C588" t="str">
        <f>"FARWELL INDEP SCHOOL DISTRICT"</f>
        <v>FARWELL INDEP SCHOOL DISTRICT</v>
      </c>
      <c r="D588" t="s">
        <v>11</v>
      </c>
      <c r="E588" t="s">
        <v>523</v>
      </c>
      <c r="F588" t="s">
        <v>524</v>
      </c>
      <c r="G588">
        <v>79325</v>
      </c>
      <c r="H588">
        <v>2010</v>
      </c>
      <c r="I588" s="1">
        <v>3558.44</v>
      </c>
      <c r="J588" s="1">
        <v>4621.3500000000004</v>
      </c>
      <c r="K588" s="1">
        <v>3558.44</v>
      </c>
    </row>
    <row r="589" spans="1:11" x14ac:dyDescent="0.35">
      <c r="A589">
        <v>767070</v>
      </c>
      <c r="B589">
        <v>2073915</v>
      </c>
      <c r="C589" t="str">
        <f>"FARWELL INDEP SCHOOL DISTRICT"</f>
        <v>FARWELL INDEP SCHOOL DISTRICT</v>
      </c>
      <c r="D589" t="s">
        <v>11</v>
      </c>
      <c r="E589" t="s">
        <v>523</v>
      </c>
      <c r="F589" t="s">
        <v>524</v>
      </c>
      <c r="G589">
        <v>79325</v>
      </c>
      <c r="H589">
        <v>2010</v>
      </c>
      <c r="I589" s="1">
        <v>5698</v>
      </c>
      <c r="J589" s="1">
        <v>7400</v>
      </c>
      <c r="K589" s="1">
        <v>5698</v>
      </c>
    </row>
    <row r="590" spans="1:11" x14ac:dyDescent="0.35">
      <c r="A590">
        <v>767070</v>
      </c>
      <c r="B590">
        <v>2073897</v>
      </c>
      <c r="C590" t="str">
        <f>"FARWELL INDEP SCHOOL DISTRICT"</f>
        <v>FARWELL INDEP SCHOOL DISTRICT</v>
      </c>
      <c r="D590" t="s">
        <v>11</v>
      </c>
      <c r="E590" t="s">
        <v>523</v>
      </c>
      <c r="F590" t="s">
        <v>524</v>
      </c>
      <c r="G590">
        <v>79325</v>
      </c>
      <c r="H590">
        <v>2010</v>
      </c>
      <c r="I590" s="1">
        <v>15115.16</v>
      </c>
      <c r="J590" s="1">
        <v>19630.080000000002</v>
      </c>
    </row>
    <row r="591" spans="1:11" x14ac:dyDescent="0.35">
      <c r="A591">
        <v>725124</v>
      </c>
      <c r="B591">
        <v>1963817</v>
      </c>
      <c r="C591" t="str">
        <f>"FAYETTEVILLE INDEP SCHOOL DIST"</f>
        <v>FAYETTEVILLE INDEP SCHOOL DIST</v>
      </c>
      <c r="D591" t="s">
        <v>11</v>
      </c>
      <c r="E591" t="s">
        <v>525</v>
      </c>
      <c r="F591" t="s">
        <v>526</v>
      </c>
      <c r="G591">
        <v>78940</v>
      </c>
      <c r="H591">
        <v>2010</v>
      </c>
      <c r="I591" s="1">
        <v>181.5</v>
      </c>
      <c r="J591" s="1">
        <v>330</v>
      </c>
    </row>
    <row r="592" spans="1:11" x14ac:dyDescent="0.35">
      <c r="A592">
        <v>725124</v>
      </c>
      <c r="B592">
        <v>1963784</v>
      </c>
      <c r="C592" t="str">
        <f>"FAYETTEVILLE INDEP SCHOOL DIST"</f>
        <v>FAYETTEVILLE INDEP SCHOOL DIST</v>
      </c>
      <c r="D592" t="s">
        <v>11</v>
      </c>
      <c r="E592" t="s">
        <v>525</v>
      </c>
      <c r="F592" t="s">
        <v>526</v>
      </c>
      <c r="G592">
        <v>78940</v>
      </c>
      <c r="H592">
        <v>2010</v>
      </c>
      <c r="I592" s="1">
        <v>7969.5</v>
      </c>
      <c r="J592" s="1">
        <v>14490</v>
      </c>
      <c r="K592" s="1">
        <v>7969.5</v>
      </c>
    </row>
    <row r="593" spans="1:11" x14ac:dyDescent="0.35">
      <c r="A593">
        <v>726198</v>
      </c>
      <c r="B593">
        <v>2064647</v>
      </c>
      <c r="C593" t="str">
        <f>"FLATONIA INDEP SCHOOL DISTRICT"</f>
        <v>FLATONIA INDEP SCHOOL DISTRICT</v>
      </c>
      <c r="D593" t="s">
        <v>11</v>
      </c>
      <c r="E593" t="s">
        <v>527</v>
      </c>
      <c r="F593" t="s">
        <v>528</v>
      </c>
      <c r="G593">
        <v>78941</v>
      </c>
      <c r="H593">
        <v>2010</v>
      </c>
      <c r="I593" s="1">
        <v>1875</v>
      </c>
      <c r="J593" s="1">
        <v>2500</v>
      </c>
      <c r="K593" s="1">
        <v>1875</v>
      </c>
    </row>
    <row r="594" spans="1:11" x14ac:dyDescent="0.35">
      <c r="A594">
        <v>726198</v>
      </c>
      <c r="B594">
        <v>2064498</v>
      </c>
      <c r="C594" t="str">
        <f>"FLATONIA INDEP SCHOOL DISTRICT"</f>
        <v>FLATONIA INDEP SCHOOL DISTRICT</v>
      </c>
      <c r="D594" t="s">
        <v>11</v>
      </c>
      <c r="E594" t="s">
        <v>527</v>
      </c>
      <c r="F594" t="s">
        <v>528</v>
      </c>
      <c r="G594">
        <v>78941</v>
      </c>
      <c r="H594">
        <v>2010</v>
      </c>
      <c r="I594" s="1">
        <v>32603.94</v>
      </c>
      <c r="J594" s="1">
        <v>43471.92</v>
      </c>
      <c r="K594" s="1">
        <v>32603.94</v>
      </c>
    </row>
    <row r="595" spans="1:11" x14ac:dyDescent="0.35">
      <c r="A595">
        <v>739391</v>
      </c>
      <c r="B595">
        <v>2001263</v>
      </c>
      <c r="C595" t="str">
        <f>"FLORENCE INDEP SCHOOL DISTRICT"</f>
        <v>FLORENCE INDEP SCHOOL DISTRICT</v>
      </c>
      <c r="D595" t="s">
        <v>11</v>
      </c>
      <c r="E595" t="s">
        <v>529</v>
      </c>
      <c r="F595" t="s">
        <v>530</v>
      </c>
      <c r="G595">
        <v>76527</v>
      </c>
      <c r="H595">
        <v>2010</v>
      </c>
      <c r="I595" s="1">
        <v>7697.42</v>
      </c>
      <c r="J595" s="1">
        <v>11155.68</v>
      </c>
      <c r="K595" s="1">
        <v>7697.42</v>
      </c>
    </row>
    <row r="596" spans="1:11" x14ac:dyDescent="0.35">
      <c r="A596">
        <v>739391</v>
      </c>
      <c r="B596">
        <v>2001399</v>
      </c>
      <c r="C596" t="str">
        <f>"FLORENCE INDEP SCHOOL DISTRICT"</f>
        <v>FLORENCE INDEP SCHOOL DISTRICT</v>
      </c>
      <c r="D596" t="s">
        <v>11</v>
      </c>
      <c r="E596" t="s">
        <v>529</v>
      </c>
      <c r="F596" t="s">
        <v>530</v>
      </c>
      <c r="G596">
        <v>76527</v>
      </c>
      <c r="H596">
        <v>2010</v>
      </c>
      <c r="I596" s="1">
        <v>2703.09</v>
      </c>
      <c r="J596" s="1">
        <v>3917.52</v>
      </c>
      <c r="K596" s="1">
        <v>2703.09</v>
      </c>
    </row>
    <row r="597" spans="1:11" x14ac:dyDescent="0.35">
      <c r="A597">
        <v>768510</v>
      </c>
      <c r="B597">
        <v>2078495</v>
      </c>
      <c r="C597" t="str">
        <f>"FLORESVILLE INDEP SCHOOL DIST"</f>
        <v>FLORESVILLE INDEP SCHOOL DIST</v>
      </c>
      <c r="D597" t="s">
        <v>11</v>
      </c>
      <c r="E597" t="s">
        <v>531</v>
      </c>
      <c r="F597" t="s">
        <v>532</v>
      </c>
      <c r="G597">
        <v>78114</v>
      </c>
      <c r="H597">
        <v>2010</v>
      </c>
      <c r="I597" s="1">
        <v>29326.2</v>
      </c>
      <c r="J597" s="1">
        <v>39630</v>
      </c>
      <c r="K597" s="1">
        <v>21646.85</v>
      </c>
    </row>
    <row r="598" spans="1:11" x14ac:dyDescent="0.35">
      <c r="A598">
        <v>741452</v>
      </c>
      <c r="B598">
        <v>2007847</v>
      </c>
      <c r="C598" t="str">
        <f>"FLOUR BLUFF INDEP SCHOOL DIST"</f>
        <v>FLOUR BLUFF INDEP SCHOOL DIST</v>
      </c>
      <c r="D598" t="s">
        <v>11</v>
      </c>
      <c r="E598" t="s">
        <v>533</v>
      </c>
      <c r="F598" t="s">
        <v>232</v>
      </c>
      <c r="G598">
        <v>78418</v>
      </c>
      <c r="H598">
        <v>2010</v>
      </c>
      <c r="I598" s="1">
        <v>7680</v>
      </c>
      <c r="J598" s="1">
        <v>12000</v>
      </c>
      <c r="K598" s="1">
        <v>7680</v>
      </c>
    </row>
    <row r="599" spans="1:11" x14ac:dyDescent="0.35">
      <c r="A599">
        <v>741452</v>
      </c>
      <c r="B599">
        <v>2002488</v>
      </c>
      <c r="C599" t="str">
        <f>"FLOUR BLUFF INDEP SCHOOL DIST"</f>
        <v>FLOUR BLUFF INDEP SCHOOL DIST</v>
      </c>
      <c r="D599" t="s">
        <v>11</v>
      </c>
      <c r="E599" t="s">
        <v>533</v>
      </c>
      <c r="F599" t="s">
        <v>232</v>
      </c>
      <c r="G599">
        <v>78418</v>
      </c>
      <c r="H599">
        <v>2010</v>
      </c>
      <c r="I599" s="1">
        <v>23078.400000000001</v>
      </c>
      <c r="J599" s="1">
        <v>36060</v>
      </c>
      <c r="K599" s="1">
        <v>23078.400000000001</v>
      </c>
    </row>
    <row r="600" spans="1:11" x14ac:dyDescent="0.35">
      <c r="A600">
        <v>741452</v>
      </c>
      <c r="B600">
        <v>2031085</v>
      </c>
      <c r="C600" t="str">
        <f>"FLOUR BLUFF INDEP SCHOOL DIST"</f>
        <v>FLOUR BLUFF INDEP SCHOOL DIST</v>
      </c>
      <c r="D600" t="s">
        <v>11</v>
      </c>
      <c r="E600" t="s">
        <v>533</v>
      </c>
      <c r="F600" t="s">
        <v>232</v>
      </c>
      <c r="G600">
        <v>78418</v>
      </c>
      <c r="H600">
        <v>2010</v>
      </c>
      <c r="I600" s="1">
        <v>21815.52</v>
      </c>
      <c r="J600" s="1">
        <v>34086.75</v>
      </c>
      <c r="K600" s="1">
        <v>21815.52</v>
      </c>
    </row>
    <row r="601" spans="1:11" x14ac:dyDescent="0.35">
      <c r="A601">
        <v>729111</v>
      </c>
      <c r="B601">
        <v>1973203</v>
      </c>
      <c r="C601" t="str">
        <f>"FLOYDADA INDEP SCHOOL DISTRICT"</f>
        <v>FLOYDADA INDEP SCHOOL DISTRICT</v>
      </c>
      <c r="D601" t="s">
        <v>11</v>
      </c>
      <c r="E601" t="s">
        <v>534</v>
      </c>
      <c r="F601" t="s">
        <v>535</v>
      </c>
      <c r="G601">
        <v>79235</v>
      </c>
      <c r="H601">
        <v>2010</v>
      </c>
      <c r="I601" s="1">
        <v>12214.8</v>
      </c>
      <c r="J601" s="1">
        <v>14040</v>
      </c>
      <c r="K601" s="1">
        <v>12214.8</v>
      </c>
    </row>
    <row r="602" spans="1:11" x14ac:dyDescent="0.35">
      <c r="A602">
        <v>729111</v>
      </c>
      <c r="B602">
        <v>1973239</v>
      </c>
      <c r="C602" t="str">
        <f>"FLOYDADA INDEP SCHOOL DISTRICT"</f>
        <v>FLOYDADA INDEP SCHOOL DISTRICT</v>
      </c>
      <c r="D602" t="s">
        <v>11</v>
      </c>
      <c r="E602" t="s">
        <v>534</v>
      </c>
      <c r="F602" t="s">
        <v>535</v>
      </c>
      <c r="G602">
        <v>79235</v>
      </c>
      <c r="H602">
        <v>2010</v>
      </c>
      <c r="I602" s="1">
        <v>5742</v>
      </c>
      <c r="J602" s="1">
        <v>6600</v>
      </c>
      <c r="K602" s="1">
        <v>5742</v>
      </c>
    </row>
    <row r="603" spans="1:11" x14ac:dyDescent="0.35">
      <c r="A603">
        <v>724123</v>
      </c>
      <c r="B603">
        <v>1961806</v>
      </c>
      <c r="C603" t="str">
        <f>"FOLLETT INDEP SCHOOL DISTRICT"</f>
        <v>FOLLETT INDEP SCHOOL DISTRICT</v>
      </c>
      <c r="D603" t="s">
        <v>11</v>
      </c>
      <c r="E603" t="s">
        <v>536</v>
      </c>
      <c r="F603" t="s">
        <v>537</v>
      </c>
      <c r="G603">
        <v>79034</v>
      </c>
      <c r="H603">
        <v>2010</v>
      </c>
      <c r="I603" s="1">
        <v>5311.97</v>
      </c>
      <c r="J603" s="1">
        <v>6639.96</v>
      </c>
      <c r="K603" s="1">
        <v>5311.97</v>
      </c>
    </row>
    <row r="604" spans="1:11" x14ac:dyDescent="0.35">
      <c r="A604">
        <v>724123</v>
      </c>
      <c r="B604">
        <v>1961810</v>
      </c>
      <c r="C604" t="str">
        <f>"FOLLETT INDEP SCHOOL DISTRICT"</f>
        <v>FOLLETT INDEP SCHOOL DISTRICT</v>
      </c>
      <c r="D604" t="s">
        <v>11</v>
      </c>
      <c r="E604" t="s">
        <v>536</v>
      </c>
      <c r="F604" t="s">
        <v>537</v>
      </c>
      <c r="G604">
        <v>79034</v>
      </c>
      <c r="H604">
        <v>2010</v>
      </c>
      <c r="I604" s="1">
        <v>2960</v>
      </c>
      <c r="J604" s="1">
        <v>3700</v>
      </c>
      <c r="K604" s="1">
        <v>2960</v>
      </c>
    </row>
    <row r="605" spans="1:11" x14ac:dyDescent="0.35">
      <c r="A605">
        <v>724123</v>
      </c>
      <c r="B605">
        <v>1961817</v>
      </c>
      <c r="C605" t="str">
        <f>"FOLLETT INDEP SCHOOL DISTRICT"</f>
        <v>FOLLETT INDEP SCHOOL DISTRICT</v>
      </c>
      <c r="D605" t="s">
        <v>11</v>
      </c>
      <c r="E605" t="s">
        <v>536</v>
      </c>
      <c r="F605" t="s">
        <v>537</v>
      </c>
      <c r="G605">
        <v>79034</v>
      </c>
      <c r="H605">
        <v>2010</v>
      </c>
      <c r="I605" s="1">
        <v>285.44</v>
      </c>
      <c r="J605" s="1">
        <v>356.8</v>
      </c>
      <c r="K605" s="1">
        <v>285.44</v>
      </c>
    </row>
    <row r="606" spans="1:11" x14ac:dyDescent="0.35">
      <c r="A606">
        <v>709309</v>
      </c>
      <c r="B606">
        <v>1938109</v>
      </c>
      <c r="C606" t="str">
        <f>"FORESTBURG INDEP SCHOOL DIST"</f>
        <v>FORESTBURG INDEP SCHOOL DIST</v>
      </c>
      <c r="D606" t="s">
        <v>11</v>
      </c>
      <c r="E606" t="s">
        <v>538</v>
      </c>
      <c r="F606" t="s">
        <v>539</v>
      </c>
      <c r="G606">
        <v>76239</v>
      </c>
      <c r="H606">
        <v>2010</v>
      </c>
      <c r="I606" s="1">
        <v>5880</v>
      </c>
      <c r="J606" s="1">
        <v>8400</v>
      </c>
      <c r="K606" s="1">
        <v>3730.86</v>
      </c>
    </row>
    <row r="607" spans="1:11" x14ac:dyDescent="0.35">
      <c r="A607">
        <v>714855</v>
      </c>
      <c r="B607">
        <v>2016507</v>
      </c>
      <c r="C607" t="str">
        <f>"FORNEY INDEP SCHOOL DISTRICT"</f>
        <v>FORNEY INDEP SCHOOL DISTRICT</v>
      </c>
      <c r="D607" t="s">
        <v>11</v>
      </c>
      <c r="E607" t="s">
        <v>540</v>
      </c>
      <c r="F607" t="s">
        <v>541</v>
      </c>
      <c r="G607">
        <v>75126</v>
      </c>
      <c r="H607">
        <v>2010</v>
      </c>
      <c r="I607" s="1">
        <v>4998</v>
      </c>
      <c r="J607" s="1">
        <v>10200</v>
      </c>
      <c r="K607" s="1">
        <v>4998</v>
      </c>
    </row>
    <row r="608" spans="1:11" x14ac:dyDescent="0.35">
      <c r="A608">
        <v>714855</v>
      </c>
      <c r="B608">
        <v>2016482</v>
      </c>
      <c r="C608" t="str">
        <f>"FORNEY INDEP SCHOOL DISTRICT"</f>
        <v>FORNEY INDEP SCHOOL DISTRICT</v>
      </c>
      <c r="D608" t="s">
        <v>11</v>
      </c>
      <c r="E608" t="s">
        <v>540</v>
      </c>
      <c r="F608" t="s">
        <v>541</v>
      </c>
      <c r="G608">
        <v>75126</v>
      </c>
      <c r="H608">
        <v>2010</v>
      </c>
      <c r="I608" s="1">
        <v>4374.25</v>
      </c>
      <c r="J608" s="1">
        <v>8927.0400000000009</v>
      </c>
      <c r="K608" s="1">
        <v>4374.25</v>
      </c>
    </row>
    <row r="609" spans="1:11" x14ac:dyDescent="0.35">
      <c r="A609">
        <v>714855</v>
      </c>
      <c r="B609">
        <v>1974898</v>
      </c>
      <c r="C609" t="str">
        <f>"FORNEY INDEP SCHOOL DISTRICT"</f>
        <v>FORNEY INDEP SCHOOL DISTRICT</v>
      </c>
      <c r="D609" t="s">
        <v>11</v>
      </c>
      <c r="E609" t="s">
        <v>540</v>
      </c>
      <c r="F609" t="s">
        <v>541</v>
      </c>
      <c r="G609">
        <v>75126</v>
      </c>
      <c r="H609">
        <v>2010</v>
      </c>
      <c r="I609" s="1">
        <v>6359.22</v>
      </c>
      <c r="J609" s="1">
        <v>12978</v>
      </c>
      <c r="K609" s="1">
        <v>6359.22</v>
      </c>
    </row>
    <row r="610" spans="1:11" x14ac:dyDescent="0.35">
      <c r="A610">
        <v>714855</v>
      </c>
      <c r="B610">
        <v>1974895</v>
      </c>
      <c r="C610" t="str">
        <f>"FORNEY INDEP SCHOOL DISTRICT"</f>
        <v>FORNEY INDEP SCHOOL DISTRICT</v>
      </c>
      <c r="D610" t="s">
        <v>11</v>
      </c>
      <c r="E610" t="s">
        <v>540</v>
      </c>
      <c r="F610" t="s">
        <v>541</v>
      </c>
      <c r="G610">
        <v>75126</v>
      </c>
      <c r="H610">
        <v>2010</v>
      </c>
      <c r="I610" s="1">
        <v>6863.43</v>
      </c>
      <c r="J610" s="1">
        <v>15383.55</v>
      </c>
      <c r="K610" s="1">
        <v>6863.43</v>
      </c>
    </row>
    <row r="611" spans="1:11" x14ac:dyDescent="0.35">
      <c r="A611">
        <v>748950</v>
      </c>
      <c r="B611">
        <v>2069587</v>
      </c>
      <c r="C611" t="str">
        <f>"FORT BEND INDEP SCHOOL DIST"</f>
        <v>FORT BEND INDEP SCHOOL DIST</v>
      </c>
      <c r="D611" t="s">
        <v>11</v>
      </c>
      <c r="E611" t="s">
        <v>542</v>
      </c>
      <c r="F611" t="s">
        <v>543</v>
      </c>
      <c r="G611">
        <v>77479</v>
      </c>
      <c r="H611">
        <v>2010</v>
      </c>
      <c r="I611" s="1">
        <v>79959.600000000006</v>
      </c>
      <c r="J611" s="1">
        <v>140280</v>
      </c>
      <c r="K611" s="1">
        <v>79959.600000000006</v>
      </c>
    </row>
    <row r="612" spans="1:11" x14ac:dyDescent="0.35">
      <c r="A612">
        <v>748950</v>
      </c>
      <c r="B612">
        <v>2069711</v>
      </c>
      <c r="C612" t="str">
        <f>"FORT BEND INDEP SCHOOL DIST"</f>
        <v>FORT BEND INDEP SCHOOL DIST</v>
      </c>
      <c r="D612" t="s">
        <v>11</v>
      </c>
      <c r="E612" t="s">
        <v>542</v>
      </c>
      <c r="F612" t="s">
        <v>543</v>
      </c>
      <c r="G612">
        <v>77479</v>
      </c>
      <c r="H612">
        <v>2010</v>
      </c>
      <c r="I612" s="1">
        <v>69825</v>
      </c>
      <c r="J612" s="1">
        <v>122500</v>
      </c>
      <c r="K612" s="1">
        <v>69825</v>
      </c>
    </row>
    <row r="613" spans="1:11" x14ac:dyDescent="0.35">
      <c r="A613">
        <v>748950</v>
      </c>
      <c r="B613">
        <v>2071835</v>
      </c>
      <c r="C613" t="str">
        <f>"FORT BEND INDEP SCHOOL DIST"</f>
        <v>FORT BEND INDEP SCHOOL DIST</v>
      </c>
      <c r="D613" t="s">
        <v>11</v>
      </c>
      <c r="E613" t="s">
        <v>542</v>
      </c>
      <c r="F613" t="s">
        <v>543</v>
      </c>
      <c r="G613">
        <v>77479</v>
      </c>
      <c r="H613">
        <v>2010</v>
      </c>
      <c r="I613" s="1">
        <v>18122.580000000002</v>
      </c>
      <c r="J613" s="1">
        <v>31794</v>
      </c>
      <c r="K613" s="1">
        <v>6837.6</v>
      </c>
    </row>
    <row r="614" spans="1:11" x14ac:dyDescent="0.35">
      <c r="A614">
        <v>727106</v>
      </c>
      <c r="B614">
        <v>2035069</v>
      </c>
      <c r="C614" t="str">
        <f>"FORT ELLIOT CONS IND SCH DIST"</f>
        <v>FORT ELLIOT CONS IND SCH DIST</v>
      </c>
      <c r="D614" t="s">
        <v>11</v>
      </c>
      <c r="E614" t="s">
        <v>544</v>
      </c>
      <c r="F614" t="s">
        <v>545</v>
      </c>
      <c r="G614">
        <v>79011</v>
      </c>
      <c r="H614">
        <v>2010</v>
      </c>
      <c r="I614" s="1">
        <v>2219.98</v>
      </c>
      <c r="J614" s="1">
        <v>3699.96</v>
      </c>
      <c r="K614" s="1">
        <v>2219.98</v>
      </c>
    </row>
    <row r="615" spans="1:11" x14ac:dyDescent="0.35">
      <c r="A615">
        <v>727106</v>
      </c>
      <c r="B615">
        <v>2035092</v>
      </c>
      <c r="C615" t="str">
        <f>"FORT ELLIOT CONS IND SCH DIST"</f>
        <v>FORT ELLIOT CONS IND SCH DIST</v>
      </c>
      <c r="D615" t="s">
        <v>11</v>
      </c>
      <c r="E615" t="s">
        <v>544</v>
      </c>
      <c r="F615" t="s">
        <v>545</v>
      </c>
      <c r="G615">
        <v>79011</v>
      </c>
      <c r="H615">
        <v>2010</v>
      </c>
      <c r="I615" s="1">
        <v>0</v>
      </c>
      <c r="J615" s="1">
        <v>0</v>
      </c>
    </row>
    <row r="616" spans="1:11" x14ac:dyDescent="0.35">
      <c r="A616">
        <v>727106</v>
      </c>
      <c r="B616">
        <v>2012886</v>
      </c>
      <c r="C616" t="str">
        <f>"FORT ELLIOT CONS IND SCH DIST"</f>
        <v>FORT ELLIOT CONS IND SCH DIST</v>
      </c>
      <c r="D616" t="s">
        <v>11</v>
      </c>
      <c r="E616" t="s">
        <v>544</v>
      </c>
      <c r="F616" t="s">
        <v>545</v>
      </c>
      <c r="G616">
        <v>79011</v>
      </c>
      <c r="H616">
        <v>2010</v>
      </c>
      <c r="I616" s="1">
        <v>3984</v>
      </c>
      <c r="J616" s="1">
        <v>6640</v>
      </c>
      <c r="K616" s="1">
        <v>3984</v>
      </c>
    </row>
    <row r="617" spans="1:11" x14ac:dyDescent="0.35">
      <c r="A617">
        <v>726021</v>
      </c>
      <c r="B617">
        <v>2002704</v>
      </c>
      <c r="C617" t="str">
        <f>"FORT HANCOCK INDEP SCHOOL DIST"</f>
        <v>FORT HANCOCK INDEP SCHOOL DIST</v>
      </c>
      <c r="D617" t="s">
        <v>11</v>
      </c>
      <c r="E617" t="s">
        <v>546</v>
      </c>
      <c r="F617" t="s">
        <v>547</v>
      </c>
      <c r="G617">
        <v>79839</v>
      </c>
      <c r="H617">
        <v>2010</v>
      </c>
      <c r="I617" s="1">
        <v>5173.2</v>
      </c>
      <c r="J617" s="1">
        <v>5748</v>
      </c>
      <c r="K617" s="1">
        <v>5173.2</v>
      </c>
    </row>
    <row r="618" spans="1:11" x14ac:dyDescent="0.35">
      <c r="A618">
        <v>722493</v>
      </c>
      <c r="B618">
        <v>2058991</v>
      </c>
      <c r="C618" t="str">
        <f>"FORT SAM HOUSTON SCHOOL DIST"</f>
        <v>FORT SAM HOUSTON SCHOOL DIST</v>
      </c>
      <c r="D618" t="s">
        <v>11</v>
      </c>
      <c r="E618" t="s">
        <v>548</v>
      </c>
      <c r="F618" t="s">
        <v>25</v>
      </c>
      <c r="G618">
        <v>78234</v>
      </c>
      <c r="H618">
        <v>2010</v>
      </c>
      <c r="I618" s="1">
        <v>6629.23</v>
      </c>
      <c r="J618" s="1">
        <v>12053.15</v>
      </c>
      <c r="K618" s="1">
        <v>6629.23</v>
      </c>
    </row>
    <row r="619" spans="1:11" x14ac:dyDescent="0.35">
      <c r="A619">
        <v>722493</v>
      </c>
      <c r="B619">
        <v>2059203</v>
      </c>
      <c r="C619" t="str">
        <f>"FORT SAM HOUSTON SCHOOL DIST"</f>
        <v>FORT SAM HOUSTON SCHOOL DIST</v>
      </c>
      <c r="D619" t="s">
        <v>11</v>
      </c>
      <c r="E619" t="s">
        <v>548</v>
      </c>
      <c r="F619" t="s">
        <v>25</v>
      </c>
      <c r="G619">
        <v>78234</v>
      </c>
      <c r="H619">
        <v>2010</v>
      </c>
      <c r="I619" s="1">
        <v>1320</v>
      </c>
      <c r="J619" s="1">
        <v>2400</v>
      </c>
      <c r="K619" s="1">
        <v>1320</v>
      </c>
    </row>
    <row r="620" spans="1:11" x14ac:dyDescent="0.35">
      <c r="A620">
        <v>722493</v>
      </c>
      <c r="B620">
        <v>2059183</v>
      </c>
      <c r="C620" t="str">
        <f>"FORT SAM HOUSTON SCHOOL DIST"</f>
        <v>FORT SAM HOUSTON SCHOOL DIST</v>
      </c>
      <c r="D620" t="s">
        <v>11</v>
      </c>
      <c r="E620" t="s">
        <v>548</v>
      </c>
      <c r="F620" t="s">
        <v>25</v>
      </c>
      <c r="G620">
        <v>78234</v>
      </c>
      <c r="H620">
        <v>2010</v>
      </c>
      <c r="I620" s="1">
        <v>7302.17</v>
      </c>
      <c r="J620" s="1">
        <v>13276.68</v>
      </c>
    </row>
    <row r="621" spans="1:11" x14ac:dyDescent="0.35">
      <c r="A621">
        <v>722493</v>
      </c>
      <c r="B621">
        <v>2059195</v>
      </c>
      <c r="C621" t="str">
        <f>"FORT SAM HOUSTON SCHOOL DIST"</f>
        <v>FORT SAM HOUSTON SCHOOL DIST</v>
      </c>
      <c r="D621" t="s">
        <v>11</v>
      </c>
      <c r="E621" t="s">
        <v>548</v>
      </c>
      <c r="F621" t="s">
        <v>25</v>
      </c>
      <c r="G621">
        <v>78234</v>
      </c>
      <c r="H621">
        <v>2010</v>
      </c>
      <c r="I621" s="1">
        <v>6831</v>
      </c>
      <c r="J621" s="1">
        <v>12420</v>
      </c>
      <c r="K621" s="1">
        <v>6831</v>
      </c>
    </row>
    <row r="622" spans="1:11" x14ac:dyDescent="0.35">
      <c r="A622">
        <v>743852</v>
      </c>
      <c r="B622">
        <v>2008034</v>
      </c>
      <c r="C622" t="str">
        <f>"FORT STOCKTON INDEP SCH DIST"</f>
        <v>FORT STOCKTON INDEP SCH DIST</v>
      </c>
      <c r="D622" t="s">
        <v>11</v>
      </c>
      <c r="E622" t="s">
        <v>549</v>
      </c>
      <c r="F622" t="s">
        <v>550</v>
      </c>
      <c r="G622">
        <v>79735</v>
      </c>
      <c r="H622">
        <v>2010</v>
      </c>
      <c r="I622" s="1">
        <v>5279.11</v>
      </c>
      <c r="J622" s="1">
        <v>6210.72</v>
      </c>
      <c r="K622" s="1">
        <v>5279.11</v>
      </c>
    </row>
    <row r="623" spans="1:11" x14ac:dyDescent="0.35">
      <c r="A623">
        <v>743877</v>
      </c>
      <c r="B623">
        <v>2007991</v>
      </c>
      <c r="C623" t="str">
        <f>"FORT WORTH INDEP SCH DISTRICT"</f>
        <v>FORT WORTH INDEP SCH DISTRICT</v>
      </c>
      <c r="D623" t="s">
        <v>11</v>
      </c>
      <c r="E623" t="s">
        <v>551</v>
      </c>
      <c r="F623" t="s">
        <v>262</v>
      </c>
      <c r="G623">
        <v>76107</v>
      </c>
      <c r="H623">
        <v>2010</v>
      </c>
      <c r="I623" s="1">
        <v>146160</v>
      </c>
      <c r="J623" s="1">
        <v>174000</v>
      </c>
      <c r="K623" s="1">
        <v>146160</v>
      </c>
    </row>
    <row r="624" spans="1:11" x14ac:dyDescent="0.35">
      <c r="A624">
        <v>758047</v>
      </c>
      <c r="B624">
        <v>2048250</v>
      </c>
      <c r="C624" t="str">
        <f>"FORT WORTH INDEP SCH DISTRICT"</f>
        <v>FORT WORTH INDEP SCH DISTRICT</v>
      </c>
      <c r="D624" t="s">
        <v>11</v>
      </c>
      <c r="E624" t="s">
        <v>551</v>
      </c>
      <c r="F624" t="s">
        <v>262</v>
      </c>
      <c r="G624">
        <v>76107</v>
      </c>
      <c r="H624">
        <v>2010</v>
      </c>
      <c r="I624" s="1">
        <v>4029.08</v>
      </c>
      <c r="J624" s="1">
        <v>4796.5200000000004</v>
      </c>
      <c r="K624" s="1">
        <v>4029.08</v>
      </c>
    </row>
    <row r="625" spans="1:11" x14ac:dyDescent="0.35">
      <c r="A625">
        <v>726087</v>
      </c>
      <c r="B625">
        <v>1965874</v>
      </c>
      <c r="C625" t="str">
        <f>"FRANKLIN INDEP SCHOOL DISTRICT"</f>
        <v>FRANKLIN INDEP SCHOOL DISTRICT</v>
      </c>
      <c r="D625" t="s">
        <v>11</v>
      </c>
      <c r="E625" t="s">
        <v>552</v>
      </c>
      <c r="F625" t="s">
        <v>553</v>
      </c>
      <c r="G625">
        <v>77856</v>
      </c>
      <c r="H625">
        <v>2010</v>
      </c>
      <c r="I625" s="1">
        <v>468.3</v>
      </c>
      <c r="J625" s="1">
        <v>669</v>
      </c>
      <c r="K625" s="1">
        <v>468.3</v>
      </c>
    </row>
    <row r="626" spans="1:11" x14ac:dyDescent="0.35">
      <c r="A626">
        <v>726087</v>
      </c>
      <c r="B626">
        <v>1965864</v>
      </c>
      <c r="C626" t="str">
        <f>"FRANKLIN INDEP SCHOOL DISTRICT"</f>
        <v>FRANKLIN INDEP SCHOOL DISTRICT</v>
      </c>
      <c r="D626" t="s">
        <v>11</v>
      </c>
      <c r="E626" t="s">
        <v>552</v>
      </c>
      <c r="F626" t="s">
        <v>553</v>
      </c>
      <c r="G626">
        <v>77856</v>
      </c>
      <c r="H626">
        <v>2010</v>
      </c>
      <c r="I626" s="1">
        <v>401.4</v>
      </c>
      <c r="J626" s="1">
        <v>669</v>
      </c>
      <c r="K626" s="1">
        <v>401.4</v>
      </c>
    </row>
    <row r="627" spans="1:11" x14ac:dyDescent="0.35">
      <c r="A627">
        <v>726087</v>
      </c>
      <c r="B627">
        <v>1965939</v>
      </c>
      <c r="C627" t="str">
        <f>"FRANKLIN INDEP SCHOOL DISTRICT"</f>
        <v>FRANKLIN INDEP SCHOOL DISTRICT</v>
      </c>
      <c r="D627" t="s">
        <v>11</v>
      </c>
      <c r="E627" t="s">
        <v>552</v>
      </c>
      <c r="F627" t="s">
        <v>553</v>
      </c>
      <c r="G627">
        <v>77856</v>
      </c>
      <c r="H627">
        <v>2010</v>
      </c>
      <c r="I627" s="1">
        <v>12354.8</v>
      </c>
      <c r="J627" s="1">
        <v>18440</v>
      </c>
      <c r="K627" s="1">
        <v>12354.8</v>
      </c>
    </row>
    <row r="628" spans="1:11" x14ac:dyDescent="0.35">
      <c r="A628">
        <v>726087</v>
      </c>
      <c r="B628">
        <v>1965894</v>
      </c>
      <c r="C628" t="str">
        <f>"FRANKLIN INDEP SCHOOL DISTRICT"</f>
        <v>FRANKLIN INDEP SCHOOL DISTRICT</v>
      </c>
      <c r="D628" t="s">
        <v>11</v>
      </c>
      <c r="E628" t="s">
        <v>552</v>
      </c>
      <c r="F628" t="s">
        <v>553</v>
      </c>
      <c r="G628">
        <v>77856</v>
      </c>
      <c r="H628">
        <v>2010</v>
      </c>
      <c r="I628" s="1">
        <v>5616</v>
      </c>
      <c r="J628" s="1">
        <v>9360</v>
      </c>
      <c r="K628" s="1">
        <v>0</v>
      </c>
    </row>
    <row r="629" spans="1:11" x14ac:dyDescent="0.35">
      <c r="A629">
        <v>750409</v>
      </c>
      <c r="B629">
        <v>2027090</v>
      </c>
      <c r="C629" t="str">
        <f>"FRANKSTON INDEP SCH DISTRICT"</f>
        <v>FRANKSTON INDEP SCH DISTRICT</v>
      </c>
      <c r="D629" t="s">
        <v>11</v>
      </c>
      <c r="E629" t="s">
        <v>554</v>
      </c>
      <c r="F629" t="s">
        <v>555</v>
      </c>
      <c r="G629">
        <v>75763</v>
      </c>
      <c r="H629">
        <v>2010</v>
      </c>
      <c r="I629" s="1">
        <v>1500</v>
      </c>
      <c r="J629" s="1">
        <v>1875</v>
      </c>
      <c r="K629" s="1">
        <v>1500</v>
      </c>
    </row>
    <row r="630" spans="1:11" x14ac:dyDescent="0.35">
      <c r="A630">
        <v>750409</v>
      </c>
      <c r="B630">
        <v>2029031</v>
      </c>
      <c r="C630" t="str">
        <f>"FRANKSTON INDEP SCH DISTRICT"</f>
        <v>FRANKSTON INDEP SCH DISTRICT</v>
      </c>
      <c r="D630" t="s">
        <v>11</v>
      </c>
      <c r="E630" t="s">
        <v>554</v>
      </c>
      <c r="F630" t="s">
        <v>555</v>
      </c>
      <c r="G630">
        <v>75763</v>
      </c>
      <c r="H630">
        <v>2010</v>
      </c>
      <c r="I630" s="1">
        <v>9920</v>
      </c>
      <c r="J630" s="1">
        <v>12400</v>
      </c>
      <c r="K630" s="1">
        <v>7920</v>
      </c>
    </row>
    <row r="631" spans="1:11" x14ac:dyDescent="0.35">
      <c r="A631">
        <v>750409</v>
      </c>
      <c r="B631">
        <v>2029504</v>
      </c>
      <c r="C631" t="str">
        <f>"FRANKSTON INDEP SCH DISTRICT"</f>
        <v>FRANKSTON INDEP SCH DISTRICT</v>
      </c>
      <c r="D631" t="s">
        <v>11</v>
      </c>
      <c r="E631" t="s">
        <v>554</v>
      </c>
      <c r="F631" t="s">
        <v>555</v>
      </c>
      <c r="G631">
        <v>75763</v>
      </c>
      <c r="H631">
        <v>2010</v>
      </c>
      <c r="I631" s="1">
        <v>2322.2399999999998</v>
      </c>
      <c r="J631" s="1">
        <v>2902.8</v>
      </c>
      <c r="K631" s="1">
        <v>1679.04</v>
      </c>
    </row>
    <row r="632" spans="1:11" x14ac:dyDescent="0.35">
      <c r="A632">
        <v>761647</v>
      </c>
      <c r="B632">
        <v>2057902</v>
      </c>
      <c r="C632" t="str">
        <f>"FREDERICKSBURG INDEP SCH DIST"</f>
        <v>FREDERICKSBURG INDEP SCH DIST</v>
      </c>
      <c r="D632" t="s">
        <v>11</v>
      </c>
      <c r="E632" t="s">
        <v>556</v>
      </c>
      <c r="F632" t="s">
        <v>557</v>
      </c>
      <c r="G632">
        <v>78624</v>
      </c>
      <c r="H632">
        <v>2010</v>
      </c>
      <c r="I632" s="1">
        <v>3442.39</v>
      </c>
      <c r="J632" s="1">
        <v>5737.32</v>
      </c>
      <c r="K632" s="1">
        <v>3442.39</v>
      </c>
    </row>
    <row r="633" spans="1:11" x14ac:dyDescent="0.35">
      <c r="A633">
        <v>761647</v>
      </c>
      <c r="B633">
        <v>2057931</v>
      </c>
      <c r="C633" t="str">
        <f>"FREDERICKSBURG INDEP SCH DIST"</f>
        <v>FREDERICKSBURG INDEP SCH DIST</v>
      </c>
      <c r="D633" t="s">
        <v>11</v>
      </c>
      <c r="E633" t="s">
        <v>556</v>
      </c>
      <c r="F633" t="s">
        <v>557</v>
      </c>
      <c r="G633">
        <v>78624</v>
      </c>
      <c r="H633">
        <v>2010</v>
      </c>
      <c r="I633" s="1">
        <v>7752</v>
      </c>
      <c r="J633" s="1">
        <v>10200</v>
      </c>
      <c r="K633" s="1">
        <v>7752</v>
      </c>
    </row>
    <row r="634" spans="1:11" x14ac:dyDescent="0.35">
      <c r="A634">
        <v>761647</v>
      </c>
      <c r="B634">
        <v>2057912</v>
      </c>
      <c r="C634" t="str">
        <f>"FREDERICKSBURG INDEP SCH DIST"</f>
        <v>FREDERICKSBURG INDEP SCH DIST</v>
      </c>
      <c r="D634" t="s">
        <v>11</v>
      </c>
      <c r="E634" t="s">
        <v>556</v>
      </c>
      <c r="F634" t="s">
        <v>557</v>
      </c>
      <c r="G634">
        <v>78624</v>
      </c>
      <c r="H634">
        <v>2010</v>
      </c>
      <c r="I634" s="1">
        <v>12312</v>
      </c>
      <c r="J634" s="1">
        <v>16200</v>
      </c>
      <c r="K634" s="1">
        <v>12312</v>
      </c>
    </row>
    <row r="635" spans="1:11" x14ac:dyDescent="0.35">
      <c r="A635">
        <v>761647</v>
      </c>
      <c r="B635">
        <v>2057917</v>
      </c>
      <c r="C635" t="str">
        <f>"FREDERICKSBURG INDEP SCH DIST"</f>
        <v>FREDERICKSBURG INDEP SCH DIST</v>
      </c>
      <c r="D635" t="s">
        <v>11</v>
      </c>
      <c r="E635" t="s">
        <v>556</v>
      </c>
      <c r="F635" t="s">
        <v>557</v>
      </c>
      <c r="G635">
        <v>78624</v>
      </c>
      <c r="H635">
        <v>2010</v>
      </c>
      <c r="I635" s="1">
        <v>7387.2</v>
      </c>
      <c r="J635" s="1">
        <v>9720</v>
      </c>
      <c r="K635" s="1">
        <v>7387.2</v>
      </c>
    </row>
    <row r="636" spans="1:11" x14ac:dyDescent="0.35">
      <c r="A636">
        <v>742657</v>
      </c>
      <c r="B636">
        <v>2007736</v>
      </c>
      <c r="C636" t="str">
        <f>"FREER INDEP SCHOOL DISTRICT"</f>
        <v>FREER INDEP SCHOOL DISTRICT</v>
      </c>
      <c r="D636" t="s">
        <v>11</v>
      </c>
      <c r="E636" t="s">
        <v>558</v>
      </c>
      <c r="F636" t="s">
        <v>559</v>
      </c>
      <c r="G636">
        <v>78357</v>
      </c>
      <c r="H636">
        <v>2010</v>
      </c>
      <c r="I636" s="1">
        <v>18620</v>
      </c>
      <c r="J636" s="1">
        <v>21905.88</v>
      </c>
      <c r="K636" s="1">
        <v>18620</v>
      </c>
    </row>
    <row r="637" spans="1:11" x14ac:dyDescent="0.35">
      <c r="A637">
        <v>742657</v>
      </c>
      <c r="B637">
        <v>2011766</v>
      </c>
      <c r="C637" t="str">
        <f>"FREER INDEP SCHOOL DISTRICT"</f>
        <v>FREER INDEP SCHOOL DISTRICT</v>
      </c>
      <c r="D637" t="s">
        <v>11</v>
      </c>
      <c r="E637" t="s">
        <v>558</v>
      </c>
      <c r="F637" t="s">
        <v>559</v>
      </c>
      <c r="G637">
        <v>78357</v>
      </c>
      <c r="H637">
        <v>2010</v>
      </c>
      <c r="I637" s="1">
        <v>13922.58</v>
      </c>
      <c r="J637" s="1">
        <v>16379.5</v>
      </c>
      <c r="K637" s="1">
        <v>13922.58</v>
      </c>
    </row>
    <row r="638" spans="1:11" x14ac:dyDescent="0.35">
      <c r="A638">
        <v>735587</v>
      </c>
      <c r="B638">
        <v>1988126</v>
      </c>
      <c r="C638" t="str">
        <f>"FRENSHIP INDEP SCHOOL DISTRICT"</f>
        <v>FRENSHIP INDEP SCHOOL DISTRICT</v>
      </c>
      <c r="D638" t="s">
        <v>11</v>
      </c>
      <c r="E638" t="s">
        <v>560</v>
      </c>
      <c r="F638" t="s">
        <v>561</v>
      </c>
      <c r="G638">
        <v>79382</v>
      </c>
      <c r="H638">
        <v>2010</v>
      </c>
      <c r="I638" s="1">
        <v>18000</v>
      </c>
      <c r="J638" s="1">
        <v>30000</v>
      </c>
      <c r="K638" s="1">
        <v>16600</v>
      </c>
    </row>
    <row r="639" spans="1:11" x14ac:dyDescent="0.35">
      <c r="A639">
        <v>735587</v>
      </c>
      <c r="B639">
        <v>1988180</v>
      </c>
      <c r="C639" t="str">
        <f>"FRENSHIP INDEP SCHOOL DISTRICT"</f>
        <v>FRENSHIP INDEP SCHOOL DISTRICT</v>
      </c>
      <c r="D639" t="s">
        <v>11</v>
      </c>
      <c r="E639" t="s">
        <v>560</v>
      </c>
      <c r="F639" t="s">
        <v>561</v>
      </c>
      <c r="G639">
        <v>79382</v>
      </c>
      <c r="H639">
        <v>2010</v>
      </c>
      <c r="I639" s="1">
        <v>0</v>
      </c>
      <c r="J639" s="1">
        <v>0</v>
      </c>
    </row>
    <row r="640" spans="1:11" x14ac:dyDescent="0.35">
      <c r="A640">
        <v>740792</v>
      </c>
      <c r="B640">
        <v>2001656</v>
      </c>
      <c r="C640" t="str">
        <f>"FRIENDSWOOD INDEP SCH DISTRICT"</f>
        <v>FRIENDSWOOD INDEP SCH DISTRICT</v>
      </c>
      <c r="D640" t="s">
        <v>11</v>
      </c>
      <c r="E640" t="s">
        <v>562</v>
      </c>
      <c r="F640" t="s">
        <v>563</v>
      </c>
      <c r="G640">
        <v>77546</v>
      </c>
      <c r="H640">
        <v>2010</v>
      </c>
      <c r="I640" s="1">
        <v>6720</v>
      </c>
      <c r="J640" s="1">
        <v>16800</v>
      </c>
      <c r="K640" s="1">
        <v>6170</v>
      </c>
    </row>
    <row r="641" spans="1:11" x14ac:dyDescent="0.35">
      <c r="A641">
        <v>753806</v>
      </c>
      <c r="B641">
        <v>2043415</v>
      </c>
      <c r="C641" t="str">
        <f>"FRIONA INDEP SCHOOL DISTRICT"</f>
        <v>FRIONA INDEP SCHOOL DISTRICT</v>
      </c>
      <c r="D641" t="s">
        <v>11</v>
      </c>
      <c r="E641" t="s">
        <v>564</v>
      </c>
      <c r="F641" t="s">
        <v>565</v>
      </c>
      <c r="G641">
        <v>79035</v>
      </c>
      <c r="H641">
        <v>2010</v>
      </c>
      <c r="I641" s="1">
        <v>4152.6000000000004</v>
      </c>
      <c r="J641" s="1">
        <v>5064.1499999999996</v>
      </c>
    </row>
    <row r="642" spans="1:11" x14ac:dyDescent="0.35">
      <c r="A642">
        <v>753806</v>
      </c>
      <c r="B642">
        <v>2043761</v>
      </c>
      <c r="C642" t="str">
        <f>"FRIONA INDEP SCHOOL DISTRICT"</f>
        <v>FRIONA INDEP SCHOOL DISTRICT</v>
      </c>
      <c r="D642" t="s">
        <v>11</v>
      </c>
      <c r="E642" t="s">
        <v>564</v>
      </c>
      <c r="F642" t="s">
        <v>565</v>
      </c>
      <c r="G642">
        <v>79035</v>
      </c>
      <c r="H642">
        <v>2010</v>
      </c>
      <c r="I642" s="1">
        <v>3034</v>
      </c>
      <c r="J642" s="1">
        <v>3700</v>
      </c>
      <c r="K642" s="1">
        <v>3034</v>
      </c>
    </row>
    <row r="643" spans="1:11" x14ac:dyDescent="0.35">
      <c r="A643">
        <v>753806</v>
      </c>
      <c r="B643">
        <v>2042334</v>
      </c>
      <c r="C643" t="str">
        <f>"FRIONA INDEP SCHOOL DISTRICT"</f>
        <v>FRIONA INDEP SCHOOL DISTRICT</v>
      </c>
      <c r="D643" t="s">
        <v>11</v>
      </c>
      <c r="E643" t="s">
        <v>564</v>
      </c>
      <c r="F643" t="s">
        <v>565</v>
      </c>
      <c r="G643">
        <v>79035</v>
      </c>
      <c r="H643">
        <v>2010</v>
      </c>
      <c r="I643" s="1">
        <v>1968</v>
      </c>
      <c r="J643" s="1">
        <v>2400</v>
      </c>
      <c r="K643" s="1">
        <v>1967.98</v>
      </c>
    </row>
    <row r="644" spans="1:11" x14ac:dyDescent="0.35">
      <c r="A644">
        <v>720151</v>
      </c>
      <c r="B644">
        <v>1982741</v>
      </c>
      <c r="C644" t="str">
        <f>"FRISCO INDEP SCHOOL DISTRICT"</f>
        <v>FRISCO INDEP SCHOOL DISTRICT</v>
      </c>
      <c r="D644" t="s">
        <v>11</v>
      </c>
      <c r="E644" t="s">
        <v>566</v>
      </c>
      <c r="F644" t="s">
        <v>567</v>
      </c>
      <c r="G644">
        <v>75034</v>
      </c>
      <c r="H644">
        <v>2010</v>
      </c>
      <c r="I644" s="1">
        <v>42435</v>
      </c>
      <c r="J644" s="1">
        <v>103500</v>
      </c>
      <c r="K644" s="1">
        <v>39599.71</v>
      </c>
    </row>
    <row r="645" spans="1:11" x14ac:dyDescent="0.35">
      <c r="A645">
        <v>718244</v>
      </c>
      <c r="B645">
        <v>1951619</v>
      </c>
      <c r="C645" t="str">
        <f>"FROST INDEP SCHOOL DISTRICT"</f>
        <v>FROST INDEP SCHOOL DISTRICT</v>
      </c>
      <c r="D645" t="s">
        <v>11</v>
      </c>
      <c r="E645" t="s">
        <v>568</v>
      </c>
      <c r="F645" t="s">
        <v>569</v>
      </c>
      <c r="G645">
        <v>76641</v>
      </c>
      <c r="H645">
        <v>2010</v>
      </c>
      <c r="I645" s="1">
        <v>17040</v>
      </c>
      <c r="J645" s="1">
        <v>21300</v>
      </c>
      <c r="K645" s="1">
        <v>17040</v>
      </c>
    </row>
    <row r="646" spans="1:11" x14ac:dyDescent="0.35">
      <c r="A646">
        <v>714871</v>
      </c>
      <c r="B646">
        <v>1974402</v>
      </c>
      <c r="C646" t="str">
        <f>"FRUITVALE INDEP SCHOOL DIST"</f>
        <v>FRUITVALE INDEP SCHOOL DIST</v>
      </c>
      <c r="D646" t="s">
        <v>11</v>
      </c>
      <c r="E646" t="s">
        <v>570</v>
      </c>
      <c r="F646" t="s">
        <v>571</v>
      </c>
      <c r="G646">
        <v>75127</v>
      </c>
      <c r="H646">
        <v>2010</v>
      </c>
      <c r="I646" s="1">
        <v>5053.0600000000004</v>
      </c>
      <c r="J646" s="1">
        <v>6316.32</v>
      </c>
      <c r="K646" s="1">
        <v>5053.0600000000004</v>
      </c>
    </row>
    <row r="647" spans="1:11" x14ac:dyDescent="0.35">
      <c r="A647">
        <v>714871</v>
      </c>
      <c r="B647">
        <v>1974430</v>
      </c>
      <c r="C647" t="str">
        <f>"FRUITVALE INDEP SCHOOL DIST"</f>
        <v>FRUITVALE INDEP SCHOOL DIST</v>
      </c>
      <c r="D647" t="s">
        <v>11</v>
      </c>
      <c r="E647" t="s">
        <v>570</v>
      </c>
      <c r="F647" t="s">
        <v>571</v>
      </c>
      <c r="G647">
        <v>75127</v>
      </c>
      <c r="H647">
        <v>2010</v>
      </c>
      <c r="I647" s="1">
        <v>2088</v>
      </c>
      <c r="J647" s="1">
        <v>2610</v>
      </c>
      <c r="K647" s="1">
        <v>2088</v>
      </c>
    </row>
    <row r="648" spans="1:11" x14ac:dyDescent="0.35">
      <c r="A648">
        <v>714871</v>
      </c>
      <c r="B648">
        <v>1974412</v>
      </c>
      <c r="C648" t="str">
        <f>"FRUITVALE INDEP SCHOOL DIST"</f>
        <v>FRUITVALE INDEP SCHOOL DIST</v>
      </c>
      <c r="D648" t="s">
        <v>11</v>
      </c>
      <c r="E648" t="s">
        <v>570</v>
      </c>
      <c r="F648" t="s">
        <v>571</v>
      </c>
      <c r="G648">
        <v>75127</v>
      </c>
      <c r="H648">
        <v>2010</v>
      </c>
      <c r="I648" s="1">
        <v>3801.84</v>
      </c>
      <c r="J648" s="1">
        <v>16848</v>
      </c>
      <c r="K648" s="1">
        <v>3801.84</v>
      </c>
    </row>
    <row r="649" spans="1:11" x14ac:dyDescent="0.35">
      <c r="A649">
        <v>764277</v>
      </c>
      <c r="B649">
        <v>2066785</v>
      </c>
      <c r="C649" t="str">
        <f>"GABRIEL TAFOLLA CHARTER SCHOOL DISTRICT"</f>
        <v>GABRIEL TAFOLLA CHARTER SCHOOL DISTRICT</v>
      </c>
      <c r="D649" t="s">
        <v>11</v>
      </c>
      <c r="E649" t="s">
        <v>572</v>
      </c>
      <c r="F649" t="s">
        <v>573</v>
      </c>
      <c r="G649">
        <v>78801</v>
      </c>
      <c r="H649">
        <v>2010</v>
      </c>
      <c r="I649" s="1">
        <v>4320</v>
      </c>
      <c r="J649" s="1">
        <v>4800</v>
      </c>
      <c r="K649" s="1">
        <v>3375</v>
      </c>
    </row>
    <row r="650" spans="1:11" x14ac:dyDescent="0.35">
      <c r="A650">
        <v>714876</v>
      </c>
      <c r="B650">
        <v>2064878</v>
      </c>
      <c r="C650" t="str">
        <f>"GAINESVILLE INDEP SCHOOL DIST"</f>
        <v>GAINESVILLE INDEP SCHOOL DIST</v>
      </c>
      <c r="D650" t="s">
        <v>11</v>
      </c>
      <c r="E650" t="s">
        <v>574</v>
      </c>
      <c r="F650" t="s">
        <v>238</v>
      </c>
      <c r="G650">
        <v>76240</v>
      </c>
      <c r="H650">
        <v>2010</v>
      </c>
      <c r="I650" s="1">
        <v>25200</v>
      </c>
      <c r="J650" s="1">
        <v>30000</v>
      </c>
      <c r="K650" s="1">
        <v>25200</v>
      </c>
    </row>
    <row r="651" spans="1:11" x14ac:dyDescent="0.35">
      <c r="A651">
        <v>714876</v>
      </c>
      <c r="B651">
        <v>2064936</v>
      </c>
      <c r="C651" t="str">
        <f>"GAINESVILLE INDEP SCHOOL DIST"</f>
        <v>GAINESVILLE INDEP SCHOOL DIST</v>
      </c>
      <c r="D651" t="s">
        <v>11</v>
      </c>
      <c r="E651" t="s">
        <v>574</v>
      </c>
      <c r="F651" t="s">
        <v>238</v>
      </c>
      <c r="G651">
        <v>76240</v>
      </c>
      <c r="H651">
        <v>2010</v>
      </c>
      <c r="I651" s="1">
        <v>5997.6</v>
      </c>
      <c r="J651" s="1">
        <v>7140</v>
      </c>
      <c r="K651" s="1">
        <v>5997.6</v>
      </c>
    </row>
    <row r="652" spans="1:11" x14ac:dyDescent="0.35">
      <c r="A652">
        <v>747014</v>
      </c>
      <c r="B652">
        <v>2016724</v>
      </c>
      <c r="C652" t="str">
        <f>"GALENA PARK INDEP SCHOOL DIST"</f>
        <v>GALENA PARK INDEP SCHOOL DIST</v>
      </c>
      <c r="D652" t="s">
        <v>11</v>
      </c>
      <c r="E652" t="s">
        <v>575</v>
      </c>
      <c r="F652" t="s">
        <v>29</v>
      </c>
      <c r="G652">
        <v>77015</v>
      </c>
      <c r="H652">
        <v>2010</v>
      </c>
      <c r="I652" s="1">
        <v>27974.42</v>
      </c>
      <c r="J652" s="1">
        <v>32528.400000000001</v>
      </c>
      <c r="K652" s="1">
        <v>27974.42</v>
      </c>
    </row>
    <row r="653" spans="1:11" x14ac:dyDescent="0.35">
      <c r="A653">
        <v>759489</v>
      </c>
      <c r="B653">
        <v>2051560</v>
      </c>
      <c r="C653" t="str">
        <f>"GALVESTON INDEP SCHOOL DIST"</f>
        <v>GALVESTON INDEP SCHOOL DIST</v>
      </c>
      <c r="D653" t="s">
        <v>11</v>
      </c>
      <c r="E653" t="s">
        <v>576</v>
      </c>
      <c r="F653" t="s">
        <v>577</v>
      </c>
      <c r="G653">
        <v>77550</v>
      </c>
      <c r="H653">
        <v>2010</v>
      </c>
      <c r="I653" s="1">
        <v>46528.67</v>
      </c>
      <c r="J653" s="1">
        <v>51698.52</v>
      </c>
      <c r="K653" s="1">
        <v>37145.519999999997</v>
      </c>
    </row>
    <row r="654" spans="1:11" x14ac:dyDescent="0.35">
      <c r="A654">
        <v>760349</v>
      </c>
      <c r="B654">
        <v>2055127</v>
      </c>
      <c r="C654" t="str">
        <f>"GALVESTON INDEP SCHOOL DIST"</f>
        <v>GALVESTON INDEP SCHOOL DIST</v>
      </c>
      <c r="D654" t="s">
        <v>11</v>
      </c>
      <c r="E654" t="s">
        <v>576</v>
      </c>
      <c r="F654" t="s">
        <v>577</v>
      </c>
      <c r="G654">
        <v>77550</v>
      </c>
      <c r="H654">
        <v>2010</v>
      </c>
      <c r="I654" s="1">
        <v>15525</v>
      </c>
      <c r="J654" s="1">
        <v>17250</v>
      </c>
      <c r="K654" s="1">
        <v>15525</v>
      </c>
    </row>
    <row r="655" spans="1:11" x14ac:dyDescent="0.35">
      <c r="A655">
        <v>762748</v>
      </c>
      <c r="B655">
        <v>2060731</v>
      </c>
      <c r="C655" t="str">
        <f>"GALVESTON INDEP SCHOOL DIST"</f>
        <v>GALVESTON INDEP SCHOOL DIST</v>
      </c>
      <c r="D655" t="s">
        <v>11</v>
      </c>
      <c r="E655" t="s">
        <v>576</v>
      </c>
      <c r="F655" t="s">
        <v>577</v>
      </c>
      <c r="G655">
        <v>77550</v>
      </c>
      <c r="H655">
        <v>2010</v>
      </c>
      <c r="I655" s="1">
        <v>1079.8900000000001</v>
      </c>
      <c r="J655" s="1">
        <v>1199.8800000000001</v>
      </c>
    </row>
    <row r="656" spans="1:11" x14ac:dyDescent="0.35">
      <c r="A656">
        <v>751439</v>
      </c>
      <c r="B656">
        <v>2039208</v>
      </c>
      <c r="C656" t="str">
        <f>"GALVESTON INDEP SCHOOL DIST"</f>
        <v>GALVESTON INDEP SCHOOL DIST</v>
      </c>
      <c r="D656" t="s">
        <v>11</v>
      </c>
      <c r="E656" t="s">
        <v>576</v>
      </c>
      <c r="F656" t="s">
        <v>577</v>
      </c>
      <c r="G656">
        <v>77550</v>
      </c>
      <c r="H656">
        <v>2010</v>
      </c>
      <c r="I656" s="1">
        <v>15750</v>
      </c>
      <c r="J656" s="1">
        <v>17500</v>
      </c>
      <c r="K656" s="1">
        <v>15750</v>
      </c>
    </row>
    <row r="657" spans="1:11" x14ac:dyDescent="0.35">
      <c r="A657">
        <v>732078</v>
      </c>
      <c r="B657">
        <v>1982818</v>
      </c>
      <c r="C657" t="str">
        <f>"GANADO INDEP SCHOOL DISTRICT"</f>
        <v>GANADO INDEP SCHOOL DISTRICT</v>
      </c>
      <c r="D657" t="s">
        <v>11</v>
      </c>
      <c r="E657" t="s">
        <v>578</v>
      </c>
      <c r="F657" t="s">
        <v>579</v>
      </c>
      <c r="G657">
        <v>77962</v>
      </c>
      <c r="H657">
        <v>2010</v>
      </c>
      <c r="I657" s="1">
        <v>7200</v>
      </c>
      <c r="J657" s="1">
        <v>9000</v>
      </c>
      <c r="K657" s="1">
        <v>6560</v>
      </c>
    </row>
    <row r="658" spans="1:11" x14ac:dyDescent="0.35">
      <c r="A658">
        <v>732078</v>
      </c>
      <c r="B658">
        <v>1982739</v>
      </c>
      <c r="C658" t="str">
        <f>"GANADO INDEP SCHOOL DISTRICT"</f>
        <v>GANADO INDEP SCHOOL DISTRICT</v>
      </c>
      <c r="D658" t="s">
        <v>11</v>
      </c>
      <c r="E658" t="s">
        <v>578</v>
      </c>
      <c r="F658" t="s">
        <v>579</v>
      </c>
      <c r="G658">
        <v>77962</v>
      </c>
      <c r="H658">
        <v>2010</v>
      </c>
      <c r="I658" s="1">
        <v>11524.42</v>
      </c>
      <c r="J658" s="1">
        <v>14405.52</v>
      </c>
      <c r="K658" s="1">
        <v>10024.370000000001</v>
      </c>
    </row>
    <row r="659" spans="1:11" x14ac:dyDescent="0.35">
      <c r="A659">
        <v>732078</v>
      </c>
      <c r="B659">
        <v>1982800</v>
      </c>
      <c r="C659" t="str">
        <f>"GANADO INDEP SCHOOL DISTRICT"</f>
        <v>GANADO INDEP SCHOOL DISTRICT</v>
      </c>
      <c r="D659" t="s">
        <v>11</v>
      </c>
      <c r="E659" t="s">
        <v>578</v>
      </c>
      <c r="F659" t="s">
        <v>579</v>
      </c>
      <c r="G659">
        <v>77962</v>
      </c>
      <c r="H659">
        <v>2010</v>
      </c>
      <c r="I659" s="1">
        <v>4182.34</v>
      </c>
      <c r="J659" s="1">
        <v>5227.92</v>
      </c>
      <c r="K659" s="1">
        <v>4182.34</v>
      </c>
    </row>
    <row r="660" spans="1:11" x14ac:dyDescent="0.35">
      <c r="A660">
        <v>744711</v>
      </c>
      <c r="B660">
        <v>2010113</v>
      </c>
      <c r="C660" t="str">
        <f>"GANADO INDEP SCHOOL DISTRICT"</f>
        <v>GANADO INDEP SCHOOL DISTRICT</v>
      </c>
      <c r="D660" t="s">
        <v>11</v>
      </c>
      <c r="E660" t="s">
        <v>578</v>
      </c>
      <c r="F660" t="s">
        <v>579</v>
      </c>
      <c r="G660">
        <v>77962</v>
      </c>
      <c r="H660">
        <v>2010</v>
      </c>
      <c r="I660" s="1">
        <v>33600</v>
      </c>
      <c r="J660" s="1">
        <v>42000</v>
      </c>
      <c r="K660" s="1">
        <v>21419.35</v>
      </c>
    </row>
    <row r="661" spans="1:11" x14ac:dyDescent="0.35">
      <c r="A661">
        <v>742119</v>
      </c>
      <c r="B661">
        <v>2060586</v>
      </c>
      <c r="C661" t="str">
        <f>"GARNER INDEP SCHOOL DISTRICT"</f>
        <v>GARNER INDEP SCHOOL DISTRICT</v>
      </c>
      <c r="D661" t="s">
        <v>11</v>
      </c>
      <c r="E661" t="s">
        <v>580</v>
      </c>
      <c r="F661" t="s">
        <v>388</v>
      </c>
      <c r="G661">
        <v>76088</v>
      </c>
      <c r="H661">
        <v>2010</v>
      </c>
      <c r="I661" s="1">
        <v>2040</v>
      </c>
      <c r="J661" s="1">
        <v>2550</v>
      </c>
      <c r="K661" s="1">
        <v>2040</v>
      </c>
    </row>
    <row r="662" spans="1:11" x14ac:dyDescent="0.35">
      <c r="A662">
        <v>742119</v>
      </c>
      <c r="B662">
        <v>2060504</v>
      </c>
      <c r="C662" t="str">
        <f>"GARNER INDEP SCHOOL DISTRICT"</f>
        <v>GARNER INDEP SCHOOL DISTRICT</v>
      </c>
      <c r="D662" t="s">
        <v>11</v>
      </c>
      <c r="E662" t="s">
        <v>580</v>
      </c>
      <c r="F662" t="s">
        <v>388</v>
      </c>
      <c r="G662">
        <v>76088</v>
      </c>
      <c r="H662">
        <v>2010</v>
      </c>
      <c r="I662" s="1">
        <v>345.6</v>
      </c>
      <c r="J662" s="1">
        <v>432</v>
      </c>
      <c r="K662" s="1">
        <v>345</v>
      </c>
    </row>
    <row r="663" spans="1:11" x14ac:dyDescent="0.35">
      <c r="A663">
        <v>742119</v>
      </c>
      <c r="B663">
        <v>2066899</v>
      </c>
      <c r="C663" t="str">
        <f>"GARNER INDEP SCHOOL DISTRICT"</f>
        <v>GARNER INDEP SCHOOL DISTRICT</v>
      </c>
      <c r="D663" t="s">
        <v>11</v>
      </c>
      <c r="E663" t="s">
        <v>580</v>
      </c>
      <c r="F663" t="s">
        <v>388</v>
      </c>
      <c r="G663">
        <v>76088</v>
      </c>
      <c r="H663">
        <v>2010</v>
      </c>
      <c r="I663" s="1">
        <v>1824</v>
      </c>
      <c r="J663" s="1">
        <v>2280</v>
      </c>
      <c r="K663" s="1">
        <v>1824</v>
      </c>
    </row>
    <row r="664" spans="1:11" x14ac:dyDescent="0.35">
      <c r="A664">
        <v>765641</v>
      </c>
      <c r="B664">
        <v>2069483</v>
      </c>
      <c r="C664" t="str">
        <f>"GARNER INDEP SCHOOL DISTRICT"</f>
        <v>GARNER INDEP SCHOOL DISTRICT</v>
      </c>
      <c r="D664" t="s">
        <v>11</v>
      </c>
      <c r="E664" t="s">
        <v>580</v>
      </c>
      <c r="F664" t="s">
        <v>388</v>
      </c>
      <c r="G664">
        <v>76088</v>
      </c>
      <c r="H664">
        <v>2010</v>
      </c>
      <c r="I664" s="1">
        <v>0</v>
      </c>
      <c r="J664" s="1">
        <v>0</v>
      </c>
    </row>
    <row r="665" spans="1:11" x14ac:dyDescent="0.35">
      <c r="A665">
        <v>742119</v>
      </c>
      <c r="B665">
        <v>2069274</v>
      </c>
      <c r="C665" t="str">
        <f>"GARNER INDEP SCHOOL DISTRICT"</f>
        <v>GARNER INDEP SCHOOL DISTRICT</v>
      </c>
      <c r="D665" t="s">
        <v>11</v>
      </c>
      <c r="E665" t="s">
        <v>580</v>
      </c>
      <c r="F665" t="s">
        <v>388</v>
      </c>
      <c r="G665">
        <v>76088</v>
      </c>
      <c r="H665">
        <v>2010</v>
      </c>
      <c r="I665" s="1">
        <v>9980.16</v>
      </c>
      <c r="J665" s="1">
        <v>12475.2</v>
      </c>
      <c r="K665" s="1">
        <v>9980.16</v>
      </c>
    </row>
    <row r="666" spans="1:11" x14ac:dyDescent="0.35">
      <c r="A666">
        <v>748185</v>
      </c>
      <c r="B666">
        <v>2020025</v>
      </c>
      <c r="C666" t="str">
        <f>"GARRISON INDEP SCHOOL DISTRICT"</f>
        <v>GARRISON INDEP SCHOOL DISTRICT</v>
      </c>
      <c r="D666" t="s">
        <v>11</v>
      </c>
      <c r="E666" t="s">
        <v>581</v>
      </c>
      <c r="F666" t="s">
        <v>582</v>
      </c>
      <c r="G666">
        <v>75946</v>
      </c>
      <c r="H666">
        <v>2010</v>
      </c>
      <c r="I666" s="1">
        <v>16452.84</v>
      </c>
      <c r="J666" s="1">
        <v>21367.32</v>
      </c>
      <c r="K666" s="1">
        <v>16452.84</v>
      </c>
    </row>
    <row r="667" spans="1:11" x14ac:dyDescent="0.35">
      <c r="A667">
        <v>724074</v>
      </c>
      <c r="B667">
        <v>1961661</v>
      </c>
      <c r="C667" t="str">
        <f>"GARY INDEP SCHOOL DISTRICT"</f>
        <v>GARY INDEP SCHOOL DISTRICT</v>
      </c>
      <c r="D667" t="s">
        <v>11</v>
      </c>
      <c r="E667" t="s">
        <v>583</v>
      </c>
      <c r="F667" t="s">
        <v>584</v>
      </c>
      <c r="G667">
        <v>75643</v>
      </c>
      <c r="H667">
        <v>2010</v>
      </c>
      <c r="I667" s="1">
        <v>2520</v>
      </c>
      <c r="J667" s="1">
        <v>3600</v>
      </c>
      <c r="K667" s="1">
        <v>840</v>
      </c>
    </row>
    <row r="668" spans="1:11" x14ac:dyDescent="0.35">
      <c r="A668">
        <v>747071</v>
      </c>
      <c r="B668">
        <v>2016701</v>
      </c>
      <c r="C668" t="str">
        <f>"GARY INDEP SCHOOL DISTRICT"</f>
        <v>GARY INDEP SCHOOL DISTRICT</v>
      </c>
      <c r="D668" t="s">
        <v>11</v>
      </c>
      <c r="E668" t="s">
        <v>583</v>
      </c>
      <c r="F668" t="s">
        <v>584</v>
      </c>
      <c r="G668">
        <v>75643</v>
      </c>
      <c r="H668">
        <v>2010</v>
      </c>
      <c r="I668" s="1">
        <v>33600</v>
      </c>
      <c r="J668" s="1">
        <v>48000</v>
      </c>
      <c r="K668" s="1">
        <v>30800</v>
      </c>
    </row>
    <row r="669" spans="1:11" x14ac:dyDescent="0.35">
      <c r="A669">
        <v>724873</v>
      </c>
      <c r="B669">
        <v>2026364</v>
      </c>
      <c r="C669" t="str">
        <f>"GATESVILLE INDEP SCHOOL DIST"</f>
        <v>GATESVILLE INDEP SCHOOL DIST</v>
      </c>
      <c r="D669" t="s">
        <v>11</v>
      </c>
      <c r="E669" t="s">
        <v>585</v>
      </c>
      <c r="F669" t="s">
        <v>586</v>
      </c>
      <c r="G669">
        <v>76528</v>
      </c>
      <c r="H669">
        <v>2010</v>
      </c>
      <c r="I669" s="1">
        <v>22649</v>
      </c>
      <c r="J669" s="1">
        <v>31900</v>
      </c>
      <c r="K669" s="1">
        <v>22649</v>
      </c>
    </row>
    <row r="670" spans="1:11" x14ac:dyDescent="0.35">
      <c r="A670">
        <v>724873</v>
      </c>
      <c r="B670">
        <v>2026470</v>
      </c>
      <c r="C670" t="str">
        <f>"GATESVILLE INDEP SCHOOL DIST"</f>
        <v>GATESVILLE INDEP SCHOOL DIST</v>
      </c>
      <c r="D670" t="s">
        <v>11</v>
      </c>
      <c r="E670" t="s">
        <v>585</v>
      </c>
      <c r="F670" t="s">
        <v>586</v>
      </c>
      <c r="G670">
        <v>76528</v>
      </c>
      <c r="H670">
        <v>2010</v>
      </c>
      <c r="I670" s="1">
        <v>23115.24</v>
      </c>
      <c r="J670" s="1">
        <v>32556.67</v>
      </c>
      <c r="K670" s="1">
        <v>23115.23</v>
      </c>
    </row>
    <row r="671" spans="1:11" x14ac:dyDescent="0.35">
      <c r="A671">
        <v>715220</v>
      </c>
      <c r="B671">
        <v>1985827</v>
      </c>
      <c r="C671" t="str">
        <f>"GATEWAY CHARTER ACADEMY"</f>
        <v>GATEWAY CHARTER ACADEMY</v>
      </c>
      <c r="D671" t="s">
        <v>11</v>
      </c>
      <c r="E671" t="s">
        <v>587</v>
      </c>
      <c r="F671" t="s">
        <v>13</v>
      </c>
      <c r="G671">
        <v>75241</v>
      </c>
      <c r="H671">
        <v>2010</v>
      </c>
      <c r="I671" s="1">
        <v>0</v>
      </c>
      <c r="J671" s="1">
        <v>0</v>
      </c>
    </row>
    <row r="672" spans="1:11" x14ac:dyDescent="0.35">
      <c r="A672">
        <v>715220</v>
      </c>
      <c r="B672">
        <v>1985823</v>
      </c>
      <c r="C672" t="str">
        <f>"GATEWAY CHARTER ACADEMY"</f>
        <v>GATEWAY CHARTER ACADEMY</v>
      </c>
      <c r="D672" t="s">
        <v>11</v>
      </c>
      <c r="E672" t="s">
        <v>587</v>
      </c>
      <c r="F672" t="s">
        <v>13</v>
      </c>
      <c r="G672">
        <v>75241</v>
      </c>
      <c r="H672">
        <v>2010</v>
      </c>
      <c r="I672" s="1">
        <v>28080</v>
      </c>
      <c r="J672" s="1">
        <v>31200</v>
      </c>
      <c r="K672" s="1">
        <v>27000</v>
      </c>
    </row>
    <row r="673" spans="1:11" x14ac:dyDescent="0.35">
      <c r="A673">
        <v>715220</v>
      </c>
      <c r="B673">
        <v>1963137</v>
      </c>
      <c r="C673" t="str">
        <f>"GATEWAY CHARTER ACADEMY"</f>
        <v>GATEWAY CHARTER ACADEMY</v>
      </c>
      <c r="D673" t="s">
        <v>11</v>
      </c>
      <c r="E673" t="s">
        <v>587</v>
      </c>
      <c r="F673" t="s">
        <v>13</v>
      </c>
      <c r="G673">
        <v>75241</v>
      </c>
      <c r="H673">
        <v>2010</v>
      </c>
      <c r="I673" s="1">
        <v>12727.26</v>
      </c>
      <c r="J673" s="1">
        <v>14141.4</v>
      </c>
      <c r="K673" s="1">
        <v>10432.799999999999</v>
      </c>
    </row>
    <row r="674" spans="1:11" x14ac:dyDescent="0.35">
      <c r="A674">
        <v>715220</v>
      </c>
      <c r="B674">
        <v>1963128</v>
      </c>
      <c r="C674" t="str">
        <f>"GATEWAY CHARTER ACADEMY"</f>
        <v>GATEWAY CHARTER ACADEMY</v>
      </c>
      <c r="D674" t="s">
        <v>11</v>
      </c>
      <c r="E674" t="s">
        <v>587</v>
      </c>
      <c r="F674" t="s">
        <v>13</v>
      </c>
      <c r="G674">
        <v>75241</v>
      </c>
      <c r="H674">
        <v>2010</v>
      </c>
      <c r="I674" s="1">
        <v>1912.46</v>
      </c>
      <c r="J674" s="1">
        <v>2124.96</v>
      </c>
      <c r="K674" s="1">
        <v>1912.46</v>
      </c>
    </row>
    <row r="675" spans="1:11" x14ac:dyDescent="0.35">
      <c r="A675">
        <v>731830</v>
      </c>
      <c r="B675">
        <v>1983658</v>
      </c>
      <c r="C675" t="str">
        <f>"GAUSE ISD"</f>
        <v>GAUSE ISD</v>
      </c>
      <c r="D675" t="s">
        <v>11</v>
      </c>
      <c r="E675" t="s">
        <v>588</v>
      </c>
      <c r="F675" t="s">
        <v>589</v>
      </c>
      <c r="G675">
        <v>77857</v>
      </c>
      <c r="H675">
        <v>2010</v>
      </c>
      <c r="I675" s="1">
        <v>6700.04</v>
      </c>
      <c r="J675" s="1">
        <v>8375.0499999999993</v>
      </c>
      <c r="K675" s="1">
        <v>6700.04</v>
      </c>
    </row>
    <row r="676" spans="1:11" x14ac:dyDescent="0.35">
      <c r="A676">
        <v>731830</v>
      </c>
      <c r="B676">
        <v>1979570</v>
      </c>
      <c r="C676" t="str">
        <f>"GAUSE ISD"</f>
        <v>GAUSE ISD</v>
      </c>
      <c r="D676" t="s">
        <v>11</v>
      </c>
      <c r="E676" t="s">
        <v>588</v>
      </c>
      <c r="F676" t="s">
        <v>589</v>
      </c>
      <c r="G676">
        <v>77857</v>
      </c>
      <c r="H676">
        <v>2010</v>
      </c>
      <c r="I676" s="1">
        <v>12600</v>
      </c>
      <c r="J676" s="1">
        <v>15750</v>
      </c>
      <c r="K676" s="1">
        <v>12600</v>
      </c>
    </row>
    <row r="677" spans="1:11" x14ac:dyDescent="0.35">
      <c r="A677">
        <v>764400</v>
      </c>
      <c r="B677">
        <v>2067784</v>
      </c>
      <c r="C677" t="str">
        <f>"GCC  L R - ATS DISTRICT"</f>
        <v>GCC  L R - ATS DISTRICT</v>
      </c>
      <c r="D677" t="s">
        <v>11</v>
      </c>
      <c r="E677" t="s">
        <v>590</v>
      </c>
      <c r="F677" t="s">
        <v>232</v>
      </c>
      <c r="G677">
        <v>78416</v>
      </c>
      <c r="H677">
        <v>2010</v>
      </c>
      <c r="I677" s="1">
        <v>1026</v>
      </c>
      <c r="J677" s="1">
        <v>1140</v>
      </c>
    </row>
    <row r="678" spans="1:11" x14ac:dyDescent="0.35">
      <c r="A678">
        <v>764400</v>
      </c>
      <c r="B678">
        <v>2067841</v>
      </c>
      <c r="C678" t="str">
        <f>"GCC  L R - ATS DISTRICT"</f>
        <v>GCC  L R - ATS DISTRICT</v>
      </c>
      <c r="D678" t="s">
        <v>11</v>
      </c>
      <c r="E678" t="s">
        <v>590</v>
      </c>
      <c r="F678" t="s">
        <v>232</v>
      </c>
      <c r="G678">
        <v>78416</v>
      </c>
      <c r="H678">
        <v>2010</v>
      </c>
      <c r="I678" s="1">
        <v>13487.04</v>
      </c>
      <c r="J678" s="1">
        <v>14985.6</v>
      </c>
      <c r="K678" s="1">
        <v>13487.04</v>
      </c>
    </row>
    <row r="679" spans="1:11" x14ac:dyDescent="0.35">
      <c r="A679">
        <v>737346</v>
      </c>
      <c r="B679">
        <v>1991900</v>
      </c>
      <c r="C679" t="str">
        <f>"GEORGE WEST SCHOOL DISTRICT"</f>
        <v>GEORGE WEST SCHOOL DISTRICT</v>
      </c>
      <c r="D679" t="s">
        <v>11</v>
      </c>
      <c r="E679" t="s">
        <v>591</v>
      </c>
      <c r="F679" t="s">
        <v>592</v>
      </c>
      <c r="G679">
        <v>78022</v>
      </c>
      <c r="H679">
        <v>2010</v>
      </c>
      <c r="I679" s="1">
        <v>13339.48</v>
      </c>
      <c r="J679" s="1">
        <v>19616.88</v>
      </c>
      <c r="K679" s="1">
        <v>13339.48</v>
      </c>
    </row>
    <row r="680" spans="1:11" x14ac:dyDescent="0.35">
      <c r="A680">
        <v>750395</v>
      </c>
      <c r="B680">
        <v>2028990</v>
      </c>
      <c r="C680" t="str">
        <f>"GEORGETOWN IND SCHOOL DISTRICT"</f>
        <v>GEORGETOWN IND SCHOOL DISTRICT</v>
      </c>
      <c r="D680" t="s">
        <v>11</v>
      </c>
      <c r="E680" t="s">
        <v>593</v>
      </c>
      <c r="F680" t="s">
        <v>594</v>
      </c>
      <c r="G680">
        <v>78628</v>
      </c>
      <c r="H680">
        <v>2010</v>
      </c>
      <c r="I680" s="1">
        <v>29646</v>
      </c>
      <c r="J680" s="1">
        <v>48600</v>
      </c>
      <c r="K680" s="1">
        <v>22984.799999999999</v>
      </c>
    </row>
    <row r="681" spans="1:11" x14ac:dyDescent="0.35">
      <c r="A681">
        <v>718223</v>
      </c>
      <c r="B681">
        <v>1976442</v>
      </c>
      <c r="C681" t="str">
        <f>"GIDDINGS INDEPENDENT SCHOOL DISTRICT"</f>
        <v>GIDDINGS INDEPENDENT SCHOOL DISTRICT</v>
      </c>
      <c r="D681" t="s">
        <v>11</v>
      </c>
      <c r="E681" t="s">
        <v>595</v>
      </c>
      <c r="F681" t="s">
        <v>596</v>
      </c>
      <c r="G681">
        <v>78942</v>
      </c>
      <c r="H681">
        <v>2010</v>
      </c>
      <c r="I681" s="1">
        <v>35818.199999999997</v>
      </c>
      <c r="J681" s="1">
        <v>44220</v>
      </c>
      <c r="K681" s="1">
        <v>35818.199999999997</v>
      </c>
    </row>
    <row r="682" spans="1:11" x14ac:dyDescent="0.35">
      <c r="A682">
        <v>718223</v>
      </c>
      <c r="B682">
        <v>1951466</v>
      </c>
      <c r="C682" t="str">
        <f>"GIDDINGS INDEPENDENT SCHOOL DISTRICT"</f>
        <v>GIDDINGS INDEPENDENT SCHOOL DISTRICT</v>
      </c>
      <c r="D682" t="s">
        <v>11</v>
      </c>
      <c r="E682" t="s">
        <v>595</v>
      </c>
      <c r="F682" t="s">
        <v>596</v>
      </c>
      <c r="G682">
        <v>78942</v>
      </c>
      <c r="H682">
        <v>2010</v>
      </c>
      <c r="I682" s="1">
        <v>9477</v>
      </c>
      <c r="J682" s="1">
        <v>11700</v>
      </c>
      <c r="K682" s="1">
        <v>9461.4</v>
      </c>
    </row>
    <row r="683" spans="1:11" x14ac:dyDescent="0.35">
      <c r="A683">
        <v>718223</v>
      </c>
      <c r="B683">
        <v>1951467</v>
      </c>
      <c r="C683" t="str">
        <f>"GIDDINGS INDEPENDENT SCHOOL DISTRICT"</f>
        <v>GIDDINGS INDEPENDENT SCHOOL DISTRICT</v>
      </c>
      <c r="D683" t="s">
        <v>11</v>
      </c>
      <c r="E683" t="s">
        <v>595</v>
      </c>
      <c r="F683" t="s">
        <v>596</v>
      </c>
      <c r="G683">
        <v>78942</v>
      </c>
      <c r="H683">
        <v>2010</v>
      </c>
      <c r="I683" s="1">
        <v>3722.88</v>
      </c>
      <c r="J683" s="1">
        <v>4596.1499999999996</v>
      </c>
      <c r="K683" s="1">
        <v>3722.88</v>
      </c>
    </row>
    <row r="684" spans="1:11" x14ac:dyDescent="0.35">
      <c r="A684">
        <v>724895</v>
      </c>
      <c r="B684">
        <v>1963231</v>
      </c>
      <c r="C684" t="str">
        <f>"GILMER INDEP SCHOOL DISTRICT"</f>
        <v>GILMER INDEP SCHOOL DISTRICT</v>
      </c>
      <c r="D684" t="s">
        <v>11</v>
      </c>
      <c r="E684" t="s">
        <v>597</v>
      </c>
      <c r="F684" t="s">
        <v>598</v>
      </c>
      <c r="G684">
        <v>75644</v>
      </c>
      <c r="H684">
        <v>2010</v>
      </c>
      <c r="I684" s="1">
        <v>16200</v>
      </c>
      <c r="J684" s="1">
        <v>21600</v>
      </c>
      <c r="K684" s="1">
        <v>16200</v>
      </c>
    </row>
    <row r="685" spans="1:11" x14ac:dyDescent="0.35">
      <c r="A685">
        <v>744096</v>
      </c>
      <c r="B685">
        <v>2008860</v>
      </c>
      <c r="C685" t="str">
        <f>"GLADEWATER INDEP SCHOOL DIST"</f>
        <v>GLADEWATER INDEP SCHOOL DIST</v>
      </c>
      <c r="D685" t="s">
        <v>11</v>
      </c>
      <c r="E685" t="s">
        <v>599</v>
      </c>
      <c r="F685" t="s">
        <v>600</v>
      </c>
      <c r="G685">
        <v>75647</v>
      </c>
      <c r="H685">
        <v>2010</v>
      </c>
      <c r="I685" s="1">
        <v>12664.28</v>
      </c>
      <c r="J685" s="1">
        <v>15444.24</v>
      </c>
      <c r="K685" s="1">
        <v>12664.28</v>
      </c>
    </row>
    <row r="686" spans="1:11" x14ac:dyDescent="0.35">
      <c r="A686">
        <v>732170</v>
      </c>
      <c r="B686">
        <v>1980099</v>
      </c>
      <c r="C686" t="str">
        <f>"GLEN ROSE INDEP SCHOOL DIST"</f>
        <v>GLEN ROSE INDEP SCHOOL DIST</v>
      </c>
      <c r="D686" t="s">
        <v>11</v>
      </c>
      <c r="E686" t="s">
        <v>601</v>
      </c>
      <c r="F686" t="s">
        <v>602</v>
      </c>
      <c r="G686">
        <v>76043</v>
      </c>
      <c r="H686">
        <v>2010</v>
      </c>
      <c r="I686" s="1">
        <v>2700</v>
      </c>
      <c r="J686" s="1">
        <v>3600</v>
      </c>
      <c r="K686" s="1">
        <v>2700</v>
      </c>
    </row>
    <row r="687" spans="1:11" x14ac:dyDescent="0.35">
      <c r="A687">
        <v>732170</v>
      </c>
      <c r="B687">
        <v>1980160</v>
      </c>
      <c r="C687" t="str">
        <f>"GLEN ROSE INDEP SCHOOL DIST"</f>
        <v>GLEN ROSE INDEP SCHOOL DIST</v>
      </c>
      <c r="D687" t="s">
        <v>11</v>
      </c>
      <c r="E687" t="s">
        <v>601</v>
      </c>
      <c r="F687" t="s">
        <v>602</v>
      </c>
      <c r="G687">
        <v>76043</v>
      </c>
      <c r="H687">
        <v>2010</v>
      </c>
      <c r="I687" s="1">
        <v>13500</v>
      </c>
      <c r="J687" s="1">
        <v>18000</v>
      </c>
      <c r="K687" s="1">
        <v>13500</v>
      </c>
    </row>
    <row r="688" spans="1:11" x14ac:dyDescent="0.35">
      <c r="A688">
        <v>732170</v>
      </c>
      <c r="B688">
        <v>1980171</v>
      </c>
      <c r="C688" t="str">
        <f>"GLEN ROSE INDEP SCHOOL DIST"</f>
        <v>GLEN ROSE INDEP SCHOOL DIST</v>
      </c>
      <c r="D688" t="s">
        <v>11</v>
      </c>
      <c r="E688" t="s">
        <v>601</v>
      </c>
      <c r="F688" t="s">
        <v>602</v>
      </c>
      <c r="G688">
        <v>76043</v>
      </c>
      <c r="H688">
        <v>2010</v>
      </c>
      <c r="I688" s="1">
        <v>27000</v>
      </c>
      <c r="J688" s="1">
        <v>36000</v>
      </c>
      <c r="K688" s="1">
        <v>27000</v>
      </c>
    </row>
    <row r="689" spans="1:11" x14ac:dyDescent="0.35">
      <c r="A689">
        <v>732170</v>
      </c>
      <c r="B689">
        <v>1980111</v>
      </c>
      <c r="C689" t="str">
        <f>"GLEN ROSE INDEP SCHOOL DIST"</f>
        <v>GLEN ROSE INDEP SCHOOL DIST</v>
      </c>
      <c r="D689" t="s">
        <v>11</v>
      </c>
      <c r="E689" t="s">
        <v>601</v>
      </c>
      <c r="F689" t="s">
        <v>602</v>
      </c>
      <c r="G689">
        <v>76043</v>
      </c>
      <c r="H689">
        <v>2010</v>
      </c>
      <c r="I689" s="1">
        <v>1499.14</v>
      </c>
      <c r="J689" s="1">
        <v>1998.85</v>
      </c>
      <c r="K689" s="1">
        <v>1499.14</v>
      </c>
    </row>
    <row r="690" spans="1:11" x14ac:dyDescent="0.35">
      <c r="A690">
        <v>732170</v>
      </c>
      <c r="B690">
        <v>1980079</v>
      </c>
      <c r="C690" t="str">
        <f>"GLEN ROSE INDEP SCHOOL DIST"</f>
        <v>GLEN ROSE INDEP SCHOOL DIST</v>
      </c>
      <c r="D690" t="s">
        <v>11</v>
      </c>
      <c r="E690" t="s">
        <v>601</v>
      </c>
      <c r="F690" t="s">
        <v>602</v>
      </c>
      <c r="G690">
        <v>76043</v>
      </c>
      <c r="H690">
        <v>2010</v>
      </c>
      <c r="I690" s="1">
        <v>5400</v>
      </c>
      <c r="J690" s="1">
        <v>7200</v>
      </c>
      <c r="K690" s="1">
        <v>1350</v>
      </c>
    </row>
    <row r="691" spans="1:11" x14ac:dyDescent="0.35">
      <c r="A691">
        <v>737970</v>
      </c>
      <c r="B691">
        <v>1993355</v>
      </c>
      <c r="C691" t="str">
        <f>"GODLEY INDEP SCHOOL DISTRICT"</f>
        <v>GODLEY INDEP SCHOOL DISTRICT</v>
      </c>
      <c r="D691" t="s">
        <v>11</v>
      </c>
      <c r="E691" t="s">
        <v>603</v>
      </c>
      <c r="F691" t="s">
        <v>604</v>
      </c>
      <c r="G691">
        <v>76044</v>
      </c>
      <c r="H691">
        <v>2010</v>
      </c>
      <c r="I691" s="1">
        <v>2979.27</v>
      </c>
      <c r="J691" s="1">
        <v>3972.36</v>
      </c>
      <c r="K691" s="1">
        <v>2979.27</v>
      </c>
    </row>
    <row r="692" spans="1:11" x14ac:dyDescent="0.35">
      <c r="A692">
        <v>737970</v>
      </c>
      <c r="B692">
        <v>1993340</v>
      </c>
      <c r="C692" t="str">
        <f>"GODLEY INDEP SCHOOL DISTRICT"</f>
        <v>GODLEY INDEP SCHOOL DISTRICT</v>
      </c>
      <c r="D692" t="s">
        <v>11</v>
      </c>
      <c r="E692" t="s">
        <v>603</v>
      </c>
      <c r="F692" t="s">
        <v>604</v>
      </c>
      <c r="G692">
        <v>76044</v>
      </c>
      <c r="H692">
        <v>2010</v>
      </c>
      <c r="I692" s="1">
        <v>12600</v>
      </c>
      <c r="J692" s="1">
        <v>16800</v>
      </c>
      <c r="K692" s="1">
        <v>12600</v>
      </c>
    </row>
    <row r="693" spans="1:11" x14ac:dyDescent="0.35">
      <c r="A693">
        <v>737970</v>
      </c>
      <c r="B693">
        <v>1993372</v>
      </c>
      <c r="C693" t="str">
        <f>"GODLEY INDEP SCHOOL DISTRICT"</f>
        <v>GODLEY INDEP SCHOOL DISTRICT</v>
      </c>
      <c r="D693" t="s">
        <v>11</v>
      </c>
      <c r="E693" t="s">
        <v>603</v>
      </c>
      <c r="F693" t="s">
        <v>604</v>
      </c>
      <c r="G693">
        <v>76044</v>
      </c>
      <c r="H693">
        <v>2010</v>
      </c>
      <c r="I693" s="1">
        <v>1350</v>
      </c>
      <c r="J693" s="1">
        <v>1800</v>
      </c>
      <c r="K693" s="1">
        <v>1350</v>
      </c>
    </row>
    <row r="694" spans="1:11" x14ac:dyDescent="0.35">
      <c r="A694">
        <v>723165</v>
      </c>
      <c r="B694">
        <v>1960352</v>
      </c>
      <c r="C694" t="str">
        <f>"GOLD BURG INDEP SCHOOL DIST"</f>
        <v>GOLD BURG INDEP SCHOOL DIST</v>
      </c>
      <c r="D694" t="s">
        <v>11</v>
      </c>
      <c r="E694" t="s">
        <v>605</v>
      </c>
      <c r="F694" t="s">
        <v>162</v>
      </c>
      <c r="G694">
        <v>76230</v>
      </c>
      <c r="H694">
        <v>2010</v>
      </c>
      <c r="I694" s="1">
        <v>4263.84</v>
      </c>
      <c r="J694" s="1">
        <v>5329.8</v>
      </c>
      <c r="K694" s="1">
        <v>4263.84</v>
      </c>
    </row>
    <row r="695" spans="1:11" x14ac:dyDescent="0.35">
      <c r="A695">
        <v>763499</v>
      </c>
      <c r="B695">
        <v>2063202</v>
      </c>
      <c r="C695" t="str">
        <f>"GOLDEN RULE CHARTER SCHOOL"</f>
        <v>GOLDEN RULE CHARTER SCHOOL</v>
      </c>
      <c r="D695" t="s">
        <v>11</v>
      </c>
      <c r="E695" t="s">
        <v>606</v>
      </c>
      <c r="F695" t="s">
        <v>13</v>
      </c>
      <c r="G695">
        <v>75233</v>
      </c>
      <c r="H695">
        <v>2010</v>
      </c>
      <c r="I695" s="1">
        <v>2948.4</v>
      </c>
      <c r="J695" s="1">
        <v>3276</v>
      </c>
      <c r="K695" s="1">
        <v>2948.4</v>
      </c>
    </row>
    <row r="696" spans="1:11" x14ac:dyDescent="0.35">
      <c r="A696">
        <v>740557</v>
      </c>
      <c r="B696">
        <v>2002358</v>
      </c>
      <c r="C696" t="str">
        <f>"GOLDTHWAITE INDEP SCH DIST"</f>
        <v>GOLDTHWAITE INDEP SCH DIST</v>
      </c>
      <c r="D696" t="s">
        <v>11</v>
      </c>
      <c r="E696" t="s">
        <v>607</v>
      </c>
      <c r="F696" t="s">
        <v>608</v>
      </c>
      <c r="G696">
        <v>76844</v>
      </c>
      <c r="H696">
        <v>2010</v>
      </c>
      <c r="I696" s="1">
        <v>0</v>
      </c>
      <c r="J696" s="1">
        <v>0</v>
      </c>
    </row>
    <row r="697" spans="1:11" x14ac:dyDescent="0.35">
      <c r="A697">
        <v>767621</v>
      </c>
      <c r="B697">
        <v>2075454</v>
      </c>
      <c r="C697" t="str">
        <f>"GOLDTHWAITE INDEP SCH DIST"</f>
        <v>GOLDTHWAITE INDEP SCH DIST</v>
      </c>
      <c r="D697" t="s">
        <v>11</v>
      </c>
      <c r="E697" t="s">
        <v>607</v>
      </c>
      <c r="F697" t="s">
        <v>608</v>
      </c>
      <c r="G697">
        <v>76844</v>
      </c>
      <c r="H697">
        <v>2010</v>
      </c>
      <c r="I697" s="1">
        <v>2437.5</v>
      </c>
      <c r="J697" s="1">
        <v>3250</v>
      </c>
      <c r="K697" s="1">
        <v>2437.5</v>
      </c>
    </row>
    <row r="698" spans="1:11" x14ac:dyDescent="0.35">
      <c r="A698">
        <v>767621</v>
      </c>
      <c r="B698">
        <v>2075537</v>
      </c>
      <c r="C698" t="str">
        <f>"GOLDTHWAITE INDEP SCH DIST"</f>
        <v>GOLDTHWAITE INDEP SCH DIST</v>
      </c>
      <c r="D698" t="s">
        <v>11</v>
      </c>
      <c r="E698" t="s">
        <v>607</v>
      </c>
      <c r="F698" t="s">
        <v>608</v>
      </c>
      <c r="G698">
        <v>76844</v>
      </c>
      <c r="H698">
        <v>2010</v>
      </c>
      <c r="I698" s="1">
        <v>4875</v>
      </c>
      <c r="J698" s="1">
        <v>6500</v>
      </c>
      <c r="K698" s="1">
        <v>4875</v>
      </c>
    </row>
    <row r="699" spans="1:11" x14ac:dyDescent="0.35">
      <c r="A699">
        <v>740557</v>
      </c>
      <c r="B699">
        <v>1999962</v>
      </c>
      <c r="C699" t="str">
        <f>"GOLDTHWAITE INDEP SCH DIST"</f>
        <v>GOLDTHWAITE INDEP SCH DIST</v>
      </c>
      <c r="D699" t="s">
        <v>11</v>
      </c>
      <c r="E699" t="s">
        <v>607</v>
      </c>
      <c r="F699" t="s">
        <v>608</v>
      </c>
      <c r="G699">
        <v>76844</v>
      </c>
      <c r="H699">
        <v>2010</v>
      </c>
      <c r="I699" s="1">
        <v>19844.099999999999</v>
      </c>
      <c r="J699" s="1">
        <v>26458.799999999999</v>
      </c>
      <c r="K699" s="1">
        <v>19601.52</v>
      </c>
    </row>
    <row r="700" spans="1:11" x14ac:dyDescent="0.35">
      <c r="A700">
        <v>752620</v>
      </c>
      <c r="B700">
        <v>2034099</v>
      </c>
      <c r="C700" t="str">
        <f>"GOLIAD INDEP SCHOOL DISTRICT"</f>
        <v>GOLIAD INDEP SCHOOL DISTRICT</v>
      </c>
      <c r="D700" t="s">
        <v>11</v>
      </c>
      <c r="E700" t="s">
        <v>609</v>
      </c>
      <c r="F700" t="s">
        <v>610</v>
      </c>
      <c r="G700">
        <v>77963</v>
      </c>
      <c r="H700">
        <v>2010</v>
      </c>
      <c r="I700" s="1">
        <v>34776</v>
      </c>
      <c r="J700" s="1">
        <v>49680</v>
      </c>
      <c r="K700" s="1">
        <v>20614</v>
      </c>
    </row>
    <row r="701" spans="1:11" x14ac:dyDescent="0.35">
      <c r="A701">
        <v>752620</v>
      </c>
      <c r="B701">
        <v>2034109</v>
      </c>
      <c r="C701" t="str">
        <f>"GOLIAD INDEP SCHOOL DISTRICT"</f>
        <v>GOLIAD INDEP SCHOOL DISTRICT</v>
      </c>
      <c r="D701" t="s">
        <v>11</v>
      </c>
      <c r="E701" t="s">
        <v>609</v>
      </c>
      <c r="F701" t="s">
        <v>610</v>
      </c>
      <c r="G701">
        <v>77963</v>
      </c>
      <c r="H701">
        <v>2010</v>
      </c>
      <c r="I701" s="1">
        <v>1683.5</v>
      </c>
      <c r="J701" s="1">
        <v>2405</v>
      </c>
      <c r="K701" s="1">
        <v>1683.5</v>
      </c>
    </row>
    <row r="702" spans="1:11" x14ac:dyDescent="0.35">
      <c r="A702">
        <v>728930</v>
      </c>
      <c r="B702">
        <v>1972122</v>
      </c>
      <c r="C702" t="str">
        <f>"GOODRICH INDEP SCHOOL DISTRICT"</f>
        <v>GOODRICH INDEP SCHOOL DISTRICT</v>
      </c>
      <c r="D702" t="s">
        <v>11</v>
      </c>
      <c r="E702" t="s">
        <v>611</v>
      </c>
      <c r="F702" t="s">
        <v>612</v>
      </c>
      <c r="G702">
        <v>77335</v>
      </c>
      <c r="H702">
        <v>2010</v>
      </c>
      <c r="I702" s="1">
        <v>7537.55</v>
      </c>
      <c r="J702" s="1">
        <v>8375.0499999999993</v>
      </c>
      <c r="K702" s="1">
        <v>7537.55</v>
      </c>
    </row>
    <row r="703" spans="1:11" x14ac:dyDescent="0.35">
      <c r="A703">
        <v>728930</v>
      </c>
      <c r="B703">
        <v>1972136</v>
      </c>
      <c r="C703" t="str">
        <f>"GOODRICH INDEP SCHOOL DISTRICT"</f>
        <v>GOODRICH INDEP SCHOOL DISTRICT</v>
      </c>
      <c r="D703" t="s">
        <v>11</v>
      </c>
      <c r="E703" t="s">
        <v>611</v>
      </c>
      <c r="F703" t="s">
        <v>612</v>
      </c>
      <c r="G703">
        <v>77335</v>
      </c>
      <c r="H703">
        <v>2010</v>
      </c>
      <c r="I703" s="1">
        <v>0</v>
      </c>
      <c r="J703" s="1">
        <v>0</v>
      </c>
    </row>
    <row r="704" spans="1:11" x14ac:dyDescent="0.35">
      <c r="A704">
        <v>728930</v>
      </c>
      <c r="B704">
        <v>1972120</v>
      </c>
      <c r="C704" t="str">
        <f>"GOODRICH INDEP SCHOOL DISTRICT"</f>
        <v>GOODRICH INDEP SCHOOL DISTRICT</v>
      </c>
      <c r="D704" t="s">
        <v>11</v>
      </c>
      <c r="E704" t="s">
        <v>611</v>
      </c>
      <c r="F704" t="s">
        <v>612</v>
      </c>
      <c r="G704">
        <v>77335</v>
      </c>
      <c r="H704">
        <v>2010</v>
      </c>
      <c r="I704" s="1">
        <v>16767</v>
      </c>
      <c r="J704" s="1">
        <v>18630</v>
      </c>
      <c r="K704" s="1">
        <v>16767</v>
      </c>
    </row>
    <row r="705" spans="1:11" x14ac:dyDescent="0.35">
      <c r="A705">
        <v>754527</v>
      </c>
      <c r="B705">
        <v>2039209</v>
      </c>
      <c r="C705" t="str">
        <f>"GOODRICH INDEP SCHOOL DISTRICT"</f>
        <v>GOODRICH INDEP SCHOOL DISTRICT</v>
      </c>
      <c r="D705" t="s">
        <v>11</v>
      </c>
      <c r="E705" t="s">
        <v>611</v>
      </c>
      <c r="F705" t="s">
        <v>612</v>
      </c>
      <c r="G705">
        <v>77335</v>
      </c>
      <c r="H705">
        <v>2010</v>
      </c>
      <c r="I705" s="1">
        <v>742.05</v>
      </c>
      <c r="J705" s="1">
        <v>824.5</v>
      </c>
      <c r="K705" s="1">
        <v>742.05</v>
      </c>
    </row>
    <row r="706" spans="1:11" x14ac:dyDescent="0.35">
      <c r="A706">
        <v>750319</v>
      </c>
      <c r="B706">
        <v>2030933</v>
      </c>
      <c r="C706" t="str">
        <f t="shared" ref="C706:C711" si="9">"GOOSE CREEK CONS IND SCH DIST"</f>
        <v>GOOSE CREEK CONS IND SCH DIST</v>
      </c>
      <c r="D706" t="s">
        <v>11</v>
      </c>
      <c r="E706" t="s">
        <v>613</v>
      </c>
      <c r="F706" t="s">
        <v>614</v>
      </c>
      <c r="G706">
        <v>77521</v>
      </c>
      <c r="H706">
        <v>2010</v>
      </c>
      <c r="I706" s="1">
        <v>31500</v>
      </c>
      <c r="J706" s="1">
        <v>42000</v>
      </c>
      <c r="K706" s="1">
        <v>31500</v>
      </c>
    </row>
    <row r="707" spans="1:11" x14ac:dyDescent="0.35">
      <c r="A707">
        <v>763453</v>
      </c>
      <c r="B707">
        <v>2062961</v>
      </c>
      <c r="C707" t="str">
        <f t="shared" si="9"/>
        <v>GOOSE CREEK CONS IND SCH DIST</v>
      </c>
      <c r="D707" t="s">
        <v>11</v>
      </c>
      <c r="E707" t="s">
        <v>613</v>
      </c>
      <c r="F707" t="s">
        <v>614</v>
      </c>
      <c r="G707">
        <v>77521</v>
      </c>
      <c r="H707">
        <v>2010</v>
      </c>
      <c r="I707" s="1">
        <v>378820.53</v>
      </c>
      <c r="J707" s="1">
        <v>505094.04</v>
      </c>
      <c r="K707" s="1">
        <v>157344.29999999999</v>
      </c>
    </row>
    <row r="708" spans="1:11" x14ac:dyDescent="0.35">
      <c r="A708">
        <v>742428</v>
      </c>
      <c r="B708">
        <v>2004869</v>
      </c>
      <c r="C708" t="str">
        <f t="shared" si="9"/>
        <v>GOOSE CREEK CONS IND SCH DIST</v>
      </c>
      <c r="D708" t="s">
        <v>11</v>
      </c>
      <c r="E708" t="s">
        <v>613</v>
      </c>
      <c r="F708" t="s">
        <v>614</v>
      </c>
      <c r="G708">
        <v>77521</v>
      </c>
      <c r="H708">
        <v>2010</v>
      </c>
      <c r="I708" s="1">
        <v>5940</v>
      </c>
      <c r="J708" s="1">
        <v>7920</v>
      </c>
      <c r="K708" s="1">
        <v>5940</v>
      </c>
    </row>
    <row r="709" spans="1:11" x14ac:dyDescent="0.35">
      <c r="A709">
        <v>742428</v>
      </c>
      <c r="B709">
        <v>2004850</v>
      </c>
      <c r="C709" t="str">
        <f t="shared" si="9"/>
        <v>GOOSE CREEK CONS IND SCH DIST</v>
      </c>
      <c r="D709" t="s">
        <v>11</v>
      </c>
      <c r="E709" t="s">
        <v>613</v>
      </c>
      <c r="F709" t="s">
        <v>614</v>
      </c>
      <c r="G709">
        <v>77521</v>
      </c>
      <c r="H709">
        <v>2010</v>
      </c>
      <c r="I709" s="1">
        <v>19800</v>
      </c>
      <c r="J709" s="1">
        <v>26400</v>
      </c>
      <c r="K709" s="1">
        <v>18735.88</v>
      </c>
    </row>
    <row r="710" spans="1:11" x14ac:dyDescent="0.35">
      <c r="A710">
        <v>742428</v>
      </c>
      <c r="B710">
        <v>2004786</v>
      </c>
      <c r="C710" t="str">
        <f t="shared" si="9"/>
        <v>GOOSE CREEK CONS IND SCH DIST</v>
      </c>
      <c r="D710" t="s">
        <v>11</v>
      </c>
      <c r="E710" t="s">
        <v>613</v>
      </c>
      <c r="F710" t="s">
        <v>614</v>
      </c>
      <c r="G710">
        <v>77521</v>
      </c>
      <c r="H710">
        <v>2010</v>
      </c>
      <c r="I710" s="1">
        <v>9471.6</v>
      </c>
      <c r="J710" s="1">
        <v>12628.8</v>
      </c>
      <c r="K710" s="1">
        <v>8030.49</v>
      </c>
    </row>
    <row r="711" spans="1:11" x14ac:dyDescent="0.35">
      <c r="A711">
        <v>742428</v>
      </c>
      <c r="B711">
        <v>2004828</v>
      </c>
      <c r="C711" t="str">
        <f t="shared" si="9"/>
        <v>GOOSE CREEK CONS IND SCH DIST</v>
      </c>
      <c r="D711" t="s">
        <v>11</v>
      </c>
      <c r="E711" t="s">
        <v>613</v>
      </c>
      <c r="F711" t="s">
        <v>614</v>
      </c>
      <c r="G711">
        <v>77521</v>
      </c>
      <c r="H711">
        <v>2010</v>
      </c>
      <c r="I711" s="1">
        <v>32843.43</v>
      </c>
      <c r="J711" s="1">
        <v>43791.24</v>
      </c>
      <c r="K711" s="1">
        <v>24003.35</v>
      </c>
    </row>
    <row r="712" spans="1:11" x14ac:dyDescent="0.35">
      <c r="A712">
        <v>731268</v>
      </c>
      <c r="B712">
        <v>1977916</v>
      </c>
      <c r="C712" t="str">
        <f>"GORDON INDEP SCHOOL DISTRICT"</f>
        <v>GORDON INDEP SCHOOL DISTRICT</v>
      </c>
      <c r="D712" t="s">
        <v>11</v>
      </c>
      <c r="E712" t="s">
        <v>615</v>
      </c>
      <c r="F712" t="s">
        <v>616</v>
      </c>
      <c r="G712">
        <v>76453</v>
      </c>
      <c r="H712">
        <v>2010</v>
      </c>
      <c r="I712" s="1">
        <v>2407.1999999999998</v>
      </c>
      <c r="J712" s="1">
        <v>3438.85</v>
      </c>
      <c r="K712" s="1">
        <v>2407.1999999999998</v>
      </c>
    </row>
    <row r="713" spans="1:11" x14ac:dyDescent="0.35">
      <c r="A713">
        <v>740208</v>
      </c>
      <c r="B713">
        <v>1998907</v>
      </c>
      <c r="C713" t="str">
        <f>"GORMAN INDEP SCHOOL DISTRICT"</f>
        <v>GORMAN INDEP SCHOOL DISTRICT</v>
      </c>
      <c r="D713" t="s">
        <v>11</v>
      </c>
      <c r="E713" t="s">
        <v>617</v>
      </c>
      <c r="F713" t="s">
        <v>618</v>
      </c>
      <c r="G713">
        <v>76454</v>
      </c>
      <c r="H713">
        <v>2010</v>
      </c>
      <c r="I713" s="1">
        <v>1105.8</v>
      </c>
      <c r="J713" s="1">
        <v>1382.25</v>
      </c>
      <c r="K713" s="1">
        <v>1105.8</v>
      </c>
    </row>
    <row r="714" spans="1:11" x14ac:dyDescent="0.35">
      <c r="A714">
        <v>740251</v>
      </c>
      <c r="B714">
        <v>1999041</v>
      </c>
      <c r="C714" t="str">
        <f>"GORMAN INDEP SCHOOL DISTRICT"</f>
        <v>GORMAN INDEP SCHOOL DISTRICT</v>
      </c>
      <c r="D714" t="s">
        <v>11</v>
      </c>
      <c r="E714" t="s">
        <v>617</v>
      </c>
      <c r="F714" t="s">
        <v>618</v>
      </c>
      <c r="G714">
        <v>76454</v>
      </c>
      <c r="H714">
        <v>2010</v>
      </c>
      <c r="I714" s="1">
        <v>460.8</v>
      </c>
      <c r="J714" s="1">
        <v>576</v>
      </c>
      <c r="K714" s="1">
        <v>460.8</v>
      </c>
    </row>
    <row r="715" spans="1:11" x14ac:dyDescent="0.35">
      <c r="A715">
        <v>735586</v>
      </c>
      <c r="B715">
        <v>1988380</v>
      </c>
      <c r="C715" t="str">
        <f>"GRAFORD INDEP SCHOOL DISTRICT"</f>
        <v>GRAFORD INDEP SCHOOL DISTRICT</v>
      </c>
      <c r="D715" t="s">
        <v>11</v>
      </c>
      <c r="E715" t="s">
        <v>619</v>
      </c>
      <c r="F715" t="s">
        <v>620</v>
      </c>
      <c r="G715">
        <v>76449</v>
      </c>
      <c r="H715">
        <v>2010</v>
      </c>
      <c r="I715" s="1">
        <v>28032</v>
      </c>
      <c r="J715" s="1">
        <v>35040</v>
      </c>
      <c r="K715" s="1">
        <v>28032</v>
      </c>
    </row>
    <row r="716" spans="1:11" x14ac:dyDescent="0.35">
      <c r="A716">
        <v>746714</v>
      </c>
      <c r="B716">
        <v>2041465</v>
      </c>
      <c r="C716" t="str">
        <f>"GRAFORD INDEP SCHOOL DISTRICT"</f>
        <v>GRAFORD INDEP SCHOOL DISTRICT</v>
      </c>
      <c r="D716" t="s">
        <v>11</v>
      </c>
      <c r="E716" t="s">
        <v>619</v>
      </c>
      <c r="F716" t="s">
        <v>620</v>
      </c>
      <c r="G716">
        <v>76449</v>
      </c>
      <c r="H716">
        <v>2010</v>
      </c>
      <c r="I716" s="1">
        <v>4320</v>
      </c>
      <c r="J716" s="1">
        <v>5400</v>
      </c>
    </row>
    <row r="717" spans="1:11" x14ac:dyDescent="0.35">
      <c r="A717">
        <v>755593</v>
      </c>
      <c r="B717">
        <v>2041806</v>
      </c>
      <c r="C717" t="str">
        <f>"GRAFORD INDEP SCHOOL DISTRICT"</f>
        <v>GRAFORD INDEP SCHOOL DISTRICT</v>
      </c>
      <c r="D717" t="s">
        <v>11</v>
      </c>
      <c r="E717" t="s">
        <v>619</v>
      </c>
      <c r="F717" t="s">
        <v>620</v>
      </c>
      <c r="G717">
        <v>76449</v>
      </c>
      <c r="H717">
        <v>2010</v>
      </c>
      <c r="I717" s="1">
        <v>1020</v>
      </c>
      <c r="J717" s="1">
        <v>1275</v>
      </c>
      <c r="K717" s="1">
        <v>1020</v>
      </c>
    </row>
    <row r="718" spans="1:11" x14ac:dyDescent="0.35">
      <c r="A718">
        <v>766466</v>
      </c>
      <c r="B718">
        <v>2071966</v>
      </c>
      <c r="C718" t="str">
        <f>"GRAFORD INDEP SCHOOL DISTRICT"</f>
        <v>GRAFORD INDEP SCHOOL DISTRICT</v>
      </c>
      <c r="D718" t="s">
        <v>11</v>
      </c>
      <c r="E718" t="s">
        <v>619</v>
      </c>
      <c r="F718" t="s">
        <v>620</v>
      </c>
      <c r="G718">
        <v>76449</v>
      </c>
      <c r="H718">
        <v>2010</v>
      </c>
      <c r="I718" s="1">
        <v>8640</v>
      </c>
      <c r="J718" s="1">
        <v>10800</v>
      </c>
    </row>
    <row r="719" spans="1:11" x14ac:dyDescent="0.35">
      <c r="A719">
        <v>748023</v>
      </c>
      <c r="B719">
        <v>2029566</v>
      </c>
      <c r="C719" t="str">
        <f>"GRAHAM INDEP SCHOOL DISTRICT"</f>
        <v>GRAHAM INDEP SCHOOL DISTRICT</v>
      </c>
      <c r="D719" t="s">
        <v>11</v>
      </c>
      <c r="E719" t="s">
        <v>621</v>
      </c>
      <c r="F719" t="s">
        <v>622</v>
      </c>
      <c r="G719">
        <v>76450</v>
      </c>
      <c r="H719">
        <v>2010</v>
      </c>
      <c r="I719" s="1">
        <v>6390</v>
      </c>
      <c r="J719" s="1">
        <v>9000</v>
      </c>
      <c r="K719" s="1">
        <v>6390</v>
      </c>
    </row>
    <row r="720" spans="1:11" x14ac:dyDescent="0.35">
      <c r="A720">
        <v>748023</v>
      </c>
      <c r="B720">
        <v>2030665</v>
      </c>
      <c r="C720" t="str">
        <f>"GRAHAM INDEP SCHOOL DISTRICT"</f>
        <v>GRAHAM INDEP SCHOOL DISTRICT</v>
      </c>
      <c r="D720" t="s">
        <v>11</v>
      </c>
      <c r="E720" t="s">
        <v>621</v>
      </c>
      <c r="F720" t="s">
        <v>622</v>
      </c>
      <c r="G720">
        <v>76450</v>
      </c>
      <c r="H720">
        <v>2010</v>
      </c>
      <c r="I720" s="1">
        <v>45479.76</v>
      </c>
      <c r="J720" s="1">
        <v>64056</v>
      </c>
      <c r="K720" s="1">
        <v>45479.76</v>
      </c>
    </row>
    <row r="721" spans="1:11" x14ac:dyDescent="0.35">
      <c r="A721">
        <v>748866</v>
      </c>
      <c r="B721">
        <v>2046809</v>
      </c>
      <c r="C721" t="str">
        <f>"GRANBURY INDEP SCHOOL DISTRICT"</f>
        <v>GRANBURY INDEP SCHOOL DISTRICT</v>
      </c>
      <c r="D721" t="s">
        <v>11</v>
      </c>
      <c r="E721" t="s">
        <v>623</v>
      </c>
      <c r="F721" t="s">
        <v>624</v>
      </c>
      <c r="G721">
        <v>76048</v>
      </c>
      <c r="H721">
        <v>2010</v>
      </c>
      <c r="I721" s="1">
        <v>4149.8100000000004</v>
      </c>
      <c r="J721" s="1">
        <v>6587</v>
      </c>
      <c r="K721" s="1">
        <v>4149.8100000000004</v>
      </c>
    </row>
    <row r="722" spans="1:11" x14ac:dyDescent="0.35">
      <c r="A722">
        <v>748866</v>
      </c>
      <c r="B722">
        <v>2094445</v>
      </c>
      <c r="C722" t="str">
        <f>"GRANBURY INDEP SCHOOL DISTRICT"</f>
        <v>GRANBURY INDEP SCHOOL DISTRICT</v>
      </c>
      <c r="D722" t="s">
        <v>11</v>
      </c>
      <c r="E722" t="s">
        <v>623</v>
      </c>
      <c r="F722" t="s">
        <v>624</v>
      </c>
      <c r="G722">
        <v>76048</v>
      </c>
      <c r="H722">
        <v>2010</v>
      </c>
      <c r="I722" s="1">
        <v>18674.87</v>
      </c>
      <c r="J722" s="1">
        <v>32935</v>
      </c>
      <c r="K722" s="1">
        <v>18674.87</v>
      </c>
    </row>
    <row r="723" spans="1:11" x14ac:dyDescent="0.35">
      <c r="A723">
        <v>748866</v>
      </c>
      <c r="B723">
        <v>2046815</v>
      </c>
      <c r="C723" t="str">
        <f>"GRANBURY INDEP SCHOOL DISTRICT"</f>
        <v>GRANBURY INDEP SCHOOL DISTRICT</v>
      </c>
      <c r="D723" t="s">
        <v>11</v>
      </c>
      <c r="E723" t="s">
        <v>623</v>
      </c>
      <c r="F723" t="s">
        <v>624</v>
      </c>
      <c r="G723">
        <v>76048</v>
      </c>
      <c r="H723">
        <v>2010</v>
      </c>
      <c r="I723" s="1">
        <v>2014.84</v>
      </c>
      <c r="J723" s="1">
        <v>3198.16</v>
      </c>
      <c r="K723" s="1">
        <v>2014.84</v>
      </c>
    </row>
    <row r="724" spans="1:11" x14ac:dyDescent="0.35">
      <c r="A724">
        <v>748866</v>
      </c>
      <c r="B724">
        <v>2046811</v>
      </c>
      <c r="C724" t="str">
        <f>"GRANBURY INDEP SCHOOL DISTRICT"</f>
        <v>GRANBURY INDEP SCHOOL DISTRICT</v>
      </c>
      <c r="D724" t="s">
        <v>11</v>
      </c>
      <c r="E724" t="s">
        <v>623</v>
      </c>
      <c r="F724" t="s">
        <v>624</v>
      </c>
      <c r="G724">
        <v>76048</v>
      </c>
      <c r="H724">
        <v>2010</v>
      </c>
      <c r="I724" s="1">
        <v>8004.15</v>
      </c>
      <c r="J724" s="1">
        <v>12705</v>
      </c>
      <c r="K724" s="1">
        <v>8004.15</v>
      </c>
    </row>
    <row r="725" spans="1:11" x14ac:dyDescent="0.35">
      <c r="A725">
        <v>714898</v>
      </c>
      <c r="B725">
        <v>1984431</v>
      </c>
      <c r="C725" t="str">
        <f>"GRAND PRAIRIE INDEPENDENT SCHOOL DISTRICT"</f>
        <v>GRAND PRAIRIE INDEPENDENT SCHOOL DISTRICT</v>
      </c>
      <c r="D725" t="s">
        <v>11</v>
      </c>
      <c r="E725" t="s">
        <v>625</v>
      </c>
      <c r="F725" t="s">
        <v>626</v>
      </c>
      <c r="G725">
        <v>75052</v>
      </c>
      <c r="H725">
        <v>2010</v>
      </c>
      <c r="I725" s="1">
        <v>0</v>
      </c>
      <c r="J725" s="1">
        <v>0</v>
      </c>
    </row>
    <row r="726" spans="1:11" x14ac:dyDescent="0.35">
      <c r="A726">
        <v>714898</v>
      </c>
      <c r="B726">
        <v>2015776</v>
      </c>
      <c r="C726" t="str">
        <f>"GRAND PRAIRIE INDEPENDENT SCHOOL DISTRICT"</f>
        <v>GRAND PRAIRIE INDEPENDENT SCHOOL DISTRICT</v>
      </c>
      <c r="D726" t="s">
        <v>11</v>
      </c>
      <c r="E726" t="s">
        <v>625</v>
      </c>
      <c r="F726" t="s">
        <v>626</v>
      </c>
      <c r="G726">
        <v>75052</v>
      </c>
      <c r="H726">
        <v>2010</v>
      </c>
      <c r="I726" s="1">
        <v>24332</v>
      </c>
      <c r="J726" s="1">
        <v>30800</v>
      </c>
      <c r="K726" s="1">
        <v>24332</v>
      </c>
    </row>
    <row r="727" spans="1:11" x14ac:dyDescent="0.35">
      <c r="A727">
        <v>714898</v>
      </c>
      <c r="B727">
        <v>1984923</v>
      </c>
      <c r="C727" t="str">
        <f>"GRAND PRAIRIE INDEPENDENT SCHOOL DISTRICT"</f>
        <v>GRAND PRAIRIE INDEPENDENT SCHOOL DISTRICT</v>
      </c>
      <c r="D727" t="s">
        <v>11</v>
      </c>
      <c r="E727" t="s">
        <v>625</v>
      </c>
      <c r="F727" t="s">
        <v>626</v>
      </c>
      <c r="G727">
        <v>75052</v>
      </c>
      <c r="H727">
        <v>2010</v>
      </c>
      <c r="I727" s="1">
        <v>41947.839999999997</v>
      </c>
      <c r="J727" s="1">
        <v>53098.53</v>
      </c>
      <c r="K727" s="1">
        <v>41947.839999999997</v>
      </c>
    </row>
    <row r="728" spans="1:11" x14ac:dyDescent="0.35">
      <c r="A728">
        <v>714898</v>
      </c>
      <c r="B728">
        <v>1984434</v>
      </c>
      <c r="C728" t="str">
        <f>"GRAND PRAIRIE INDEPENDENT SCHOOL DISTRICT"</f>
        <v>GRAND PRAIRIE INDEPENDENT SCHOOL DISTRICT</v>
      </c>
      <c r="D728" t="s">
        <v>11</v>
      </c>
      <c r="E728" t="s">
        <v>625</v>
      </c>
      <c r="F728" t="s">
        <v>626</v>
      </c>
      <c r="G728">
        <v>75052</v>
      </c>
      <c r="H728">
        <v>2010</v>
      </c>
      <c r="I728" s="1">
        <v>0</v>
      </c>
      <c r="J728" s="1">
        <v>0</v>
      </c>
    </row>
    <row r="729" spans="1:11" x14ac:dyDescent="0.35">
      <c r="A729">
        <v>736295</v>
      </c>
      <c r="B729">
        <v>2069201</v>
      </c>
      <c r="C729" t="str">
        <f>"GRAND SALINE SCHOOL DISTRICT"</f>
        <v>GRAND SALINE SCHOOL DISTRICT</v>
      </c>
      <c r="D729" t="s">
        <v>11</v>
      </c>
      <c r="E729" t="s">
        <v>627</v>
      </c>
      <c r="F729" t="s">
        <v>628</v>
      </c>
      <c r="G729">
        <v>75140</v>
      </c>
      <c r="H729">
        <v>2010</v>
      </c>
      <c r="I729" s="1">
        <v>16320</v>
      </c>
      <c r="J729" s="1">
        <v>20400</v>
      </c>
      <c r="K729" s="1">
        <v>15960</v>
      </c>
    </row>
    <row r="730" spans="1:11" x14ac:dyDescent="0.35">
      <c r="A730">
        <v>757324</v>
      </c>
      <c r="B730">
        <v>2072557</v>
      </c>
      <c r="C730" t="str">
        <f>"GRANDFALLS-ROYALTY SCHOOL DIST"</f>
        <v>GRANDFALLS-ROYALTY SCHOOL DIST</v>
      </c>
      <c r="D730" t="s">
        <v>11</v>
      </c>
      <c r="E730" t="s">
        <v>629</v>
      </c>
      <c r="F730" t="s">
        <v>630</v>
      </c>
      <c r="G730">
        <v>79742</v>
      </c>
      <c r="H730">
        <v>2010</v>
      </c>
      <c r="I730" s="1">
        <v>405</v>
      </c>
      <c r="J730" s="1">
        <v>450</v>
      </c>
    </row>
    <row r="731" spans="1:11" x14ac:dyDescent="0.35">
      <c r="A731">
        <v>757324</v>
      </c>
      <c r="B731">
        <v>2072257</v>
      </c>
      <c r="C731" t="str">
        <f>"GRANDFALLS-ROYALTY SCHOOL DIST"</f>
        <v>GRANDFALLS-ROYALTY SCHOOL DIST</v>
      </c>
      <c r="D731" t="s">
        <v>11</v>
      </c>
      <c r="E731" t="s">
        <v>629</v>
      </c>
      <c r="F731" t="s">
        <v>630</v>
      </c>
      <c r="G731">
        <v>79742</v>
      </c>
      <c r="H731">
        <v>2010</v>
      </c>
      <c r="I731" s="1">
        <v>1460.16</v>
      </c>
      <c r="J731" s="1">
        <v>1622.4</v>
      </c>
    </row>
    <row r="732" spans="1:11" x14ac:dyDescent="0.35">
      <c r="A732">
        <v>729874</v>
      </c>
      <c r="B732">
        <v>1975658</v>
      </c>
      <c r="C732" t="str">
        <f>"GRANDVIEW INDEP SCHOOL DIST"</f>
        <v>GRANDVIEW INDEP SCHOOL DIST</v>
      </c>
      <c r="D732" t="s">
        <v>11</v>
      </c>
      <c r="E732" t="s">
        <v>631</v>
      </c>
      <c r="F732" t="s">
        <v>632</v>
      </c>
      <c r="G732">
        <v>76050</v>
      </c>
      <c r="H732">
        <v>2010</v>
      </c>
      <c r="I732" s="1">
        <v>6624</v>
      </c>
      <c r="J732" s="1">
        <v>9600</v>
      </c>
    </row>
    <row r="733" spans="1:11" x14ac:dyDescent="0.35">
      <c r="A733">
        <v>729874</v>
      </c>
      <c r="B733">
        <v>1975627</v>
      </c>
      <c r="C733" t="str">
        <f>"GRANDVIEW INDEP SCHOOL DIST"</f>
        <v>GRANDVIEW INDEP SCHOOL DIST</v>
      </c>
      <c r="D733" t="s">
        <v>11</v>
      </c>
      <c r="E733" t="s">
        <v>631</v>
      </c>
      <c r="F733" t="s">
        <v>632</v>
      </c>
      <c r="G733">
        <v>76050</v>
      </c>
      <c r="H733">
        <v>2010</v>
      </c>
      <c r="I733" s="1">
        <v>993.6</v>
      </c>
      <c r="J733" s="1">
        <v>1440</v>
      </c>
    </row>
    <row r="734" spans="1:11" x14ac:dyDescent="0.35">
      <c r="A734">
        <v>729874</v>
      </c>
      <c r="B734">
        <v>1975704</v>
      </c>
      <c r="C734" t="str">
        <f>"GRANDVIEW INDEP SCHOOL DIST"</f>
        <v>GRANDVIEW INDEP SCHOOL DIST</v>
      </c>
      <c r="D734" t="s">
        <v>11</v>
      </c>
      <c r="E734" t="s">
        <v>631</v>
      </c>
      <c r="F734" t="s">
        <v>632</v>
      </c>
      <c r="G734">
        <v>76050</v>
      </c>
      <c r="H734">
        <v>2010</v>
      </c>
      <c r="I734" s="1">
        <v>879.75</v>
      </c>
      <c r="J734" s="1">
        <v>1275</v>
      </c>
      <c r="K734" s="1">
        <v>879.75</v>
      </c>
    </row>
    <row r="735" spans="1:11" x14ac:dyDescent="0.35">
      <c r="A735">
        <v>729874</v>
      </c>
      <c r="B735">
        <v>1975683</v>
      </c>
      <c r="C735" t="str">
        <f>"GRANDVIEW INDEP SCHOOL DIST"</f>
        <v>GRANDVIEW INDEP SCHOOL DIST</v>
      </c>
      <c r="D735" t="s">
        <v>11</v>
      </c>
      <c r="E735" t="s">
        <v>631</v>
      </c>
      <c r="F735" t="s">
        <v>632</v>
      </c>
      <c r="G735">
        <v>76050</v>
      </c>
      <c r="H735">
        <v>2010</v>
      </c>
      <c r="I735" s="1">
        <v>2758.41</v>
      </c>
      <c r="J735" s="1">
        <v>3997.7</v>
      </c>
      <c r="K735" s="1">
        <v>2758.41</v>
      </c>
    </row>
    <row r="736" spans="1:11" x14ac:dyDescent="0.35">
      <c r="A736">
        <v>722983</v>
      </c>
      <c r="B736">
        <v>1959813</v>
      </c>
      <c r="C736" t="str">
        <f>"GRANGER ISD"</f>
        <v>GRANGER ISD</v>
      </c>
      <c r="D736" t="s">
        <v>11</v>
      </c>
      <c r="E736" t="s">
        <v>633</v>
      </c>
      <c r="F736" t="s">
        <v>634</v>
      </c>
      <c r="G736">
        <v>76530</v>
      </c>
      <c r="H736">
        <v>2010</v>
      </c>
      <c r="I736" s="1">
        <v>14304</v>
      </c>
      <c r="J736" s="1">
        <v>17880</v>
      </c>
      <c r="K736" s="1">
        <v>14304</v>
      </c>
    </row>
    <row r="737" spans="1:11" x14ac:dyDescent="0.35">
      <c r="A737">
        <v>722983</v>
      </c>
      <c r="B737">
        <v>1959876</v>
      </c>
      <c r="C737" t="str">
        <f>"GRANGER ISD"</f>
        <v>GRANGER ISD</v>
      </c>
      <c r="D737" t="s">
        <v>11</v>
      </c>
      <c r="E737" t="s">
        <v>633</v>
      </c>
      <c r="F737" t="s">
        <v>634</v>
      </c>
      <c r="G737">
        <v>76530</v>
      </c>
      <c r="H737">
        <v>2010</v>
      </c>
      <c r="I737" s="1">
        <v>1094.4000000000001</v>
      </c>
      <c r="J737" s="1">
        <v>1368</v>
      </c>
      <c r="K737" s="1">
        <v>1094.4000000000001</v>
      </c>
    </row>
    <row r="738" spans="1:11" x14ac:dyDescent="0.35">
      <c r="A738">
        <v>738298</v>
      </c>
      <c r="B738">
        <v>1994203</v>
      </c>
      <c r="C738" t="str">
        <f>"GRAPELAND INDEP SCH DISTRICT"</f>
        <v>GRAPELAND INDEP SCH DISTRICT</v>
      </c>
      <c r="D738" t="s">
        <v>11</v>
      </c>
      <c r="E738" t="s">
        <v>635</v>
      </c>
      <c r="F738" t="s">
        <v>636</v>
      </c>
      <c r="G738">
        <v>75844</v>
      </c>
      <c r="H738">
        <v>2010</v>
      </c>
      <c r="I738" s="1">
        <v>0</v>
      </c>
      <c r="J738" s="1">
        <v>0</v>
      </c>
    </row>
    <row r="739" spans="1:11" x14ac:dyDescent="0.35">
      <c r="A739">
        <v>747149</v>
      </c>
      <c r="B739">
        <v>2016976</v>
      </c>
      <c r="C739" t="str">
        <f>"GRAPELAND INDEP SCH DISTRICT"</f>
        <v>GRAPELAND INDEP SCH DISTRICT</v>
      </c>
      <c r="D739" t="s">
        <v>11</v>
      </c>
      <c r="E739" t="s">
        <v>635</v>
      </c>
      <c r="F739" t="s">
        <v>636</v>
      </c>
      <c r="G739">
        <v>75844</v>
      </c>
      <c r="H739">
        <v>2010</v>
      </c>
      <c r="I739" s="1">
        <v>6448.78</v>
      </c>
      <c r="J739" s="1">
        <v>8375.0400000000009</v>
      </c>
      <c r="K739" s="1">
        <v>6448.78</v>
      </c>
    </row>
    <row r="740" spans="1:11" x14ac:dyDescent="0.35">
      <c r="A740">
        <v>748640</v>
      </c>
      <c r="B740">
        <v>2021498</v>
      </c>
      <c r="C740" t="str">
        <f>"GRAPELAND INDEP SCH DISTRICT"</f>
        <v>GRAPELAND INDEP SCH DISTRICT</v>
      </c>
      <c r="D740" t="s">
        <v>11</v>
      </c>
      <c r="E740" t="s">
        <v>635</v>
      </c>
      <c r="F740" t="s">
        <v>636</v>
      </c>
      <c r="G740">
        <v>75844</v>
      </c>
      <c r="H740">
        <v>2010</v>
      </c>
      <c r="I740" s="1">
        <v>13742.56</v>
      </c>
      <c r="J740" s="1">
        <v>17847.48</v>
      </c>
      <c r="K740" s="1">
        <v>13742.56</v>
      </c>
    </row>
    <row r="741" spans="1:11" x14ac:dyDescent="0.35">
      <c r="A741">
        <v>753331</v>
      </c>
      <c r="B741">
        <v>2035787</v>
      </c>
      <c r="C741" t="str">
        <f>"GRAPELAND INDEP SCH DISTRICT"</f>
        <v>GRAPELAND INDEP SCH DISTRICT</v>
      </c>
      <c r="D741" t="s">
        <v>11</v>
      </c>
      <c r="E741" t="s">
        <v>635</v>
      </c>
      <c r="F741" t="s">
        <v>636</v>
      </c>
      <c r="G741">
        <v>75844</v>
      </c>
      <c r="H741">
        <v>2010</v>
      </c>
      <c r="I741" s="1">
        <v>0</v>
      </c>
      <c r="J741" s="1">
        <v>0</v>
      </c>
    </row>
    <row r="742" spans="1:11" x14ac:dyDescent="0.35">
      <c r="A742">
        <v>766897</v>
      </c>
      <c r="B742">
        <v>2073267</v>
      </c>
      <c r="C742" t="str">
        <f>"GRAPELAND INDEP SCH DISTRICT"</f>
        <v>GRAPELAND INDEP SCH DISTRICT</v>
      </c>
      <c r="D742" t="s">
        <v>11</v>
      </c>
      <c r="E742" t="s">
        <v>635</v>
      </c>
      <c r="F742" t="s">
        <v>636</v>
      </c>
      <c r="G742">
        <v>75844</v>
      </c>
      <c r="H742">
        <v>2010</v>
      </c>
      <c r="I742" s="1">
        <v>0</v>
      </c>
      <c r="J742" s="1">
        <v>0</v>
      </c>
    </row>
    <row r="743" spans="1:11" x14ac:dyDescent="0.35">
      <c r="A743">
        <v>715005</v>
      </c>
      <c r="B743">
        <v>1991867</v>
      </c>
      <c r="C743" t="str">
        <f>"GRAPEVINE-COLLEYVILLE IND S D"</f>
        <v>GRAPEVINE-COLLEYVILLE IND S D</v>
      </c>
      <c r="D743" t="s">
        <v>11</v>
      </c>
      <c r="E743" t="s">
        <v>637</v>
      </c>
      <c r="F743" t="s">
        <v>254</v>
      </c>
      <c r="G743">
        <v>76051</v>
      </c>
      <c r="H743">
        <v>2010</v>
      </c>
      <c r="I743" s="1">
        <v>7810.8</v>
      </c>
      <c r="J743" s="1">
        <v>16980</v>
      </c>
      <c r="K743" s="1">
        <v>7810.8</v>
      </c>
    </row>
    <row r="744" spans="1:11" x14ac:dyDescent="0.35">
      <c r="A744">
        <v>715005</v>
      </c>
      <c r="B744">
        <v>1991862</v>
      </c>
      <c r="C744" t="str">
        <f>"GRAPEVINE-COLLEYVILLE IND S D"</f>
        <v>GRAPEVINE-COLLEYVILLE IND S D</v>
      </c>
      <c r="D744" t="s">
        <v>11</v>
      </c>
      <c r="E744" t="s">
        <v>637</v>
      </c>
      <c r="F744" t="s">
        <v>254</v>
      </c>
      <c r="G744">
        <v>76051</v>
      </c>
      <c r="H744">
        <v>2010</v>
      </c>
      <c r="I744" s="1">
        <v>10155.93</v>
      </c>
      <c r="J744" s="1">
        <v>46764</v>
      </c>
      <c r="K744" s="1">
        <v>10055.93</v>
      </c>
    </row>
    <row r="745" spans="1:11" x14ac:dyDescent="0.35">
      <c r="A745">
        <v>717041</v>
      </c>
      <c r="B745">
        <v>2023581</v>
      </c>
      <c r="C745" t="str">
        <f>"GREENVILLE INDEP SCHOOL DIST"</f>
        <v>GREENVILLE INDEP SCHOOL DIST</v>
      </c>
      <c r="D745" t="s">
        <v>11</v>
      </c>
      <c r="E745" t="s">
        <v>638</v>
      </c>
      <c r="F745" t="s">
        <v>639</v>
      </c>
      <c r="G745">
        <v>75403</v>
      </c>
      <c r="H745">
        <v>2010</v>
      </c>
      <c r="I745" s="1">
        <v>23458.25</v>
      </c>
      <c r="J745" s="1">
        <v>28960.799999999999</v>
      </c>
    </row>
    <row r="746" spans="1:11" x14ac:dyDescent="0.35">
      <c r="A746">
        <v>717041</v>
      </c>
      <c r="B746">
        <v>2023587</v>
      </c>
      <c r="C746" t="str">
        <f>"GREENVILLE INDEP SCHOOL DIST"</f>
        <v>GREENVILLE INDEP SCHOOL DIST</v>
      </c>
      <c r="D746" t="s">
        <v>11</v>
      </c>
      <c r="E746" t="s">
        <v>638</v>
      </c>
      <c r="F746" t="s">
        <v>639</v>
      </c>
      <c r="G746">
        <v>75403</v>
      </c>
      <c r="H746">
        <v>2010</v>
      </c>
      <c r="I746" s="1">
        <v>12530.7</v>
      </c>
      <c r="J746" s="1">
        <v>15470</v>
      </c>
    </row>
    <row r="747" spans="1:11" x14ac:dyDescent="0.35">
      <c r="A747">
        <v>741564</v>
      </c>
      <c r="B747">
        <v>2029901</v>
      </c>
      <c r="C747" t="str">
        <f>"GREENWOOD INDEP SCH DISTRICT"</f>
        <v>GREENWOOD INDEP SCH DISTRICT</v>
      </c>
      <c r="D747" t="s">
        <v>11</v>
      </c>
      <c r="E747" t="s">
        <v>640</v>
      </c>
      <c r="F747" t="s">
        <v>641</v>
      </c>
      <c r="G747">
        <v>79706</v>
      </c>
      <c r="H747">
        <v>2010</v>
      </c>
      <c r="I747" s="1">
        <v>3120</v>
      </c>
      <c r="J747" s="1">
        <v>6240</v>
      </c>
      <c r="K747" s="1">
        <v>3120</v>
      </c>
    </row>
    <row r="748" spans="1:11" x14ac:dyDescent="0.35">
      <c r="A748">
        <v>728009</v>
      </c>
      <c r="B748">
        <v>1969905</v>
      </c>
      <c r="C748" t="str">
        <f>"GREGORY-PORTLAND IND SCH DIST"</f>
        <v>GREGORY-PORTLAND IND SCH DIST</v>
      </c>
      <c r="D748" t="s">
        <v>11</v>
      </c>
      <c r="E748" t="s">
        <v>642</v>
      </c>
      <c r="F748" t="s">
        <v>643</v>
      </c>
      <c r="G748">
        <v>78374</v>
      </c>
      <c r="H748">
        <v>2010</v>
      </c>
      <c r="I748" s="1">
        <v>5224.49</v>
      </c>
      <c r="J748" s="1">
        <v>8426.6</v>
      </c>
      <c r="K748" s="1">
        <v>5224.49</v>
      </c>
    </row>
    <row r="749" spans="1:11" x14ac:dyDescent="0.35">
      <c r="A749">
        <v>728009</v>
      </c>
      <c r="B749">
        <v>1969910</v>
      </c>
      <c r="C749" t="str">
        <f>"GREGORY-PORTLAND IND SCH DIST"</f>
        <v>GREGORY-PORTLAND IND SCH DIST</v>
      </c>
      <c r="D749" t="s">
        <v>11</v>
      </c>
      <c r="E749" t="s">
        <v>642</v>
      </c>
      <c r="F749" t="s">
        <v>643</v>
      </c>
      <c r="G749">
        <v>78374</v>
      </c>
      <c r="H749">
        <v>2010</v>
      </c>
      <c r="I749" s="1">
        <v>3683.88</v>
      </c>
      <c r="J749" s="1">
        <v>5941.74</v>
      </c>
      <c r="K749" s="1">
        <v>3683.88</v>
      </c>
    </row>
    <row r="750" spans="1:11" x14ac:dyDescent="0.35">
      <c r="A750">
        <v>728239</v>
      </c>
      <c r="B750">
        <v>1970310</v>
      </c>
      <c r="C750" t="str">
        <f>"GREGORY-PORTLAND IND SCH DIST"</f>
        <v>GREGORY-PORTLAND IND SCH DIST</v>
      </c>
      <c r="D750" t="s">
        <v>11</v>
      </c>
      <c r="E750" t="s">
        <v>642</v>
      </c>
      <c r="F750" t="s">
        <v>643</v>
      </c>
      <c r="G750">
        <v>78374</v>
      </c>
      <c r="H750">
        <v>2010</v>
      </c>
      <c r="I750" s="1">
        <v>17922.36</v>
      </c>
      <c r="J750" s="1">
        <v>28907.040000000001</v>
      </c>
      <c r="K750" s="1">
        <v>0</v>
      </c>
    </row>
    <row r="751" spans="1:11" x14ac:dyDescent="0.35">
      <c r="A751">
        <v>747799</v>
      </c>
      <c r="B751">
        <v>2027930</v>
      </c>
      <c r="C751" t="str">
        <f>"GROESBECK INDEP SCHOOL DIST"</f>
        <v>GROESBECK INDEP SCHOOL DIST</v>
      </c>
      <c r="D751" t="s">
        <v>11</v>
      </c>
      <c r="E751" t="s">
        <v>644</v>
      </c>
      <c r="F751" t="s">
        <v>645</v>
      </c>
      <c r="G751">
        <v>76642</v>
      </c>
      <c r="H751">
        <v>2010</v>
      </c>
      <c r="I751" s="1">
        <v>679.14</v>
      </c>
      <c r="J751" s="1">
        <v>882</v>
      </c>
      <c r="K751" s="1">
        <v>679.14</v>
      </c>
    </row>
    <row r="752" spans="1:11" x14ac:dyDescent="0.35">
      <c r="A752">
        <v>747326</v>
      </c>
      <c r="B752">
        <v>2018379</v>
      </c>
      <c r="C752" t="str">
        <f>"GROESBECK INDEP SCHOOL DIST"</f>
        <v>GROESBECK INDEP SCHOOL DIST</v>
      </c>
      <c r="D752" t="s">
        <v>11</v>
      </c>
      <c r="E752" t="s">
        <v>644</v>
      </c>
      <c r="F752" t="s">
        <v>645</v>
      </c>
      <c r="G752">
        <v>76642</v>
      </c>
      <c r="H752">
        <v>2010</v>
      </c>
      <c r="I752" s="1">
        <v>0</v>
      </c>
      <c r="J752" s="1">
        <v>0</v>
      </c>
    </row>
    <row r="753" spans="1:11" x14ac:dyDescent="0.35">
      <c r="A753">
        <v>747799</v>
      </c>
      <c r="B753">
        <v>2027747</v>
      </c>
      <c r="C753" t="str">
        <f>"GROESBECK INDEP SCHOOL DIST"</f>
        <v>GROESBECK INDEP SCHOOL DIST</v>
      </c>
      <c r="D753" t="s">
        <v>11</v>
      </c>
      <c r="E753" t="s">
        <v>644</v>
      </c>
      <c r="F753" t="s">
        <v>645</v>
      </c>
      <c r="G753">
        <v>76642</v>
      </c>
      <c r="H753">
        <v>2010</v>
      </c>
      <c r="I753" s="1">
        <v>22869</v>
      </c>
      <c r="J753" s="1">
        <v>29700</v>
      </c>
      <c r="K753" s="1">
        <v>4123.3500000000004</v>
      </c>
    </row>
    <row r="754" spans="1:11" x14ac:dyDescent="0.35">
      <c r="A754">
        <v>748097</v>
      </c>
      <c r="B754">
        <v>2019796</v>
      </c>
      <c r="C754" t="str">
        <f>"GROESBECK INDEP SCHOOL DIST"</f>
        <v>GROESBECK INDEP SCHOOL DIST</v>
      </c>
      <c r="D754" t="s">
        <v>11</v>
      </c>
      <c r="E754" t="s">
        <v>644</v>
      </c>
      <c r="F754" t="s">
        <v>645</v>
      </c>
      <c r="G754">
        <v>76642</v>
      </c>
      <c r="H754">
        <v>2010</v>
      </c>
      <c r="I754" s="1">
        <v>23654.400000000001</v>
      </c>
      <c r="J754" s="1">
        <v>30720</v>
      </c>
      <c r="K754" s="1">
        <v>23654.400000000001</v>
      </c>
    </row>
    <row r="755" spans="1:11" x14ac:dyDescent="0.35">
      <c r="A755">
        <v>732408</v>
      </c>
      <c r="B755">
        <v>2002128</v>
      </c>
      <c r="C755" t="str">
        <f>"GROOM INDEP SCHOOL DISTRICT"</f>
        <v>GROOM INDEP SCHOOL DISTRICT</v>
      </c>
      <c r="D755" t="s">
        <v>11</v>
      </c>
      <c r="E755" t="s">
        <v>646</v>
      </c>
      <c r="F755" t="s">
        <v>647</v>
      </c>
      <c r="G755">
        <v>79039</v>
      </c>
      <c r="H755">
        <v>2010</v>
      </c>
      <c r="I755" s="1">
        <v>3351.68</v>
      </c>
      <c r="J755" s="1">
        <v>4788.12</v>
      </c>
      <c r="K755" s="1">
        <v>2100</v>
      </c>
    </row>
    <row r="756" spans="1:11" x14ac:dyDescent="0.35">
      <c r="A756">
        <v>747225</v>
      </c>
      <c r="B756">
        <v>2017306</v>
      </c>
      <c r="C756" t="str">
        <f>"GROVETON INDEP SCHOOL DISTRICT"</f>
        <v>GROVETON INDEP SCHOOL DISTRICT</v>
      </c>
      <c r="D756" t="s">
        <v>11</v>
      </c>
      <c r="E756" t="s">
        <v>648</v>
      </c>
      <c r="F756" t="s">
        <v>276</v>
      </c>
      <c r="G756">
        <v>75845</v>
      </c>
      <c r="H756">
        <v>2010</v>
      </c>
      <c r="I756" s="1">
        <v>6699.94</v>
      </c>
      <c r="J756" s="1">
        <v>8374.92</v>
      </c>
      <c r="K756" s="1">
        <v>6699.94</v>
      </c>
    </row>
    <row r="757" spans="1:11" x14ac:dyDescent="0.35">
      <c r="A757">
        <v>747864</v>
      </c>
      <c r="B757">
        <v>2018961</v>
      </c>
      <c r="C757" t="str">
        <f>"GROVETON INDEP SCHOOL DISTRICT"</f>
        <v>GROVETON INDEP SCHOOL DISTRICT</v>
      </c>
      <c r="D757" t="s">
        <v>11</v>
      </c>
      <c r="E757" t="s">
        <v>648</v>
      </c>
      <c r="F757" t="s">
        <v>276</v>
      </c>
      <c r="G757">
        <v>75845</v>
      </c>
      <c r="H757">
        <v>2010</v>
      </c>
      <c r="I757" s="1">
        <v>16571.23</v>
      </c>
      <c r="J757" s="1">
        <v>20714.04</v>
      </c>
      <c r="K757" s="1">
        <v>16571.23</v>
      </c>
    </row>
    <row r="758" spans="1:11" x14ac:dyDescent="0.35">
      <c r="A758">
        <v>732140</v>
      </c>
      <c r="B758">
        <v>1979896</v>
      </c>
      <c r="C758" t="str">
        <f>"GRUVER INDEP SCHOOL DISTRICT"</f>
        <v>GRUVER INDEP SCHOOL DISTRICT</v>
      </c>
      <c r="D758" t="s">
        <v>11</v>
      </c>
      <c r="E758" t="s">
        <v>649</v>
      </c>
      <c r="F758" t="s">
        <v>650</v>
      </c>
      <c r="G758">
        <v>79040</v>
      </c>
      <c r="H758">
        <v>2010</v>
      </c>
      <c r="I758" s="1">
        <v>9036.4</v>
      </c>
      <c r="J758" s="1">
        <v>11890</v>
      </c>
      <c r="K758" s="1">
        <v>9036.4</v>
      </c>
    </row>
    <row r="759" spans="1:11" x14ac:dyDescent="0.35">
      <c r="A759">
        <v>732140</v>
      </c>
      <c r="B759">
        <v>1979981</v>
      </c>
      <c r="C759" t="str">
        <f>"GRUVER INDEP SCHOOL DISTRICT"</f>
        <v>GRUVER INDEP SCHOOL DISTRICT</v>
      </c>
      <c r="D759" t="s">
        <v>11</v>
      </c>
      <c r="E759" t="s">
        <v>649</v>
      </c>
      <c r="F759" t="s">
        <v>650</v>
      </c>
      <c r="G759">
        <v>79040</v>
      </c>
      <c r="H759">
        <v>2010</v>
      </c>
      <c r="I759" s="1">
        <v>1234.51</v>
      </c>
      <c r="J759" s="1">
        <v>1624.35</v>
      </c>
      <c r="K759" s="1">
        <v>1234.51</v>
      </c>
    </row>
    <row r="760" spans="1:11" x14ac:dyDescent="0.35">
      <c r="A760">
        <v>732140</v>
      </c>
      <c r="B760">
        <v>1979938</v>
      </c>
      <c r="C760" t="str">
        <f>"GRUVER INDEP SCHOOL DISTRICT"</f>
        <v>GRUVER INDEP SCHOOL DISTRICT</v>
      </c>
      <c r="D760" t="s">
        <v>11</v>
      </c>
      <c r="E760" t="s">
        <v>649</v>
      </c>
      <c r="F760" t="s">
        <v>650</v>
      </c>
      <c r="G760">
        <v>79040</v>
      </c>
      <c r="H760">
        <v>2010</v>
      </c>
      <c r="I760" s="1">
        <v>2812</v>
      </c>
      <c r="J760" s="1">
        <v>3700</v>
      </c>
      <c r="K760" s="1">
        <v>2812</v>
      </c>
    </row>
    <row r="761" spans="1:11" x14ac:dyDescent="0.35">
      <c r="A761">
        <v>717492</v>
      </c>
      <c r="B761">
        <v>1965608</v>
      </c>
      <c r="C761" t="str">
        <f>"HALE CENTER INDEP SCHOOL DIST"</f>
        <v>HALE CENTER INDEP SCHOOL DIST</v>
      </c>
      <c r="D761" t="s">
        <v>11</v>
      </c>
      <c r="E761" t="s">
        <v>651</v>
      </c>
      <c r="F761" t="s">
        <v>652</v>
      </c>
      <c r="G761">
        <v>79041</v>
      </c>
      <c r="H761">
        <v>2010</v>
      </c>
      <c r="I761" s="1">
        <v>7830</v>
      </c>
      <c r="J761" s="1">
        <v>9000</v>
      </c>
      <c r="K761" s="1">
        <v>7525.5</v>
      </c>
    </row>
    <row r="762" spans="1:11" x14ac:dyDescent="0.35">
      <c r="A762">
        <v>717492</v>
      </c>
      <c r="B762">
        <v>1963143</v>
      </c>
      <c r="C762" t="str">
        <f>"HALE CENTER INDEP SCHOOL DIST"</f>
        <v>HALE CENTER INDEP SCHOOL DIST</v>
      </c>
      <c r="D762" t="s">
        <v>11</v>
      </c>
      <c r="E762" t="s">
        <v>651</v>
      </c>
      <c r="F762" t="s">
        <v>652</v>
      </c>
      <c r="G762">
        <v>79041</v>
      </c>
      <c r="H762">
        <v>2010</v>
      </c>
      <c r="I762" s="1">
        <v>777.56</v>
      </c>
      <c r="J762" s="1">
        <v>893.75</v>
      </c>
      <c r="K762" s="1">
        <v>777.56</v>
      </c>
    </row>
    <row r="763" spans="1:11" x14ac:dyDescent="0.35">
      <c r="A763">
        <v>717492</v>
      </c>
      <c r="B763">
        <v>1963185</v>
      </c>
      <c r="C763" t="str">
        <f>"HALE CENTER INDEP SCHOOL DIST"</f>
        <v>HALE CENTER INDEP SCHOOL DIST</v>
      </c>
      <c r="D763" t="s">
        <v>11</v>
      </c>
      <c r="E763" t="s">
        <v>651</v>
      </c>
      <c r="F763" t="s">
        <v>652</v>
      </c>
      <c r="G763">
        <v>79041</v>
      </c>
      <c r="H763">
        <v>2010</v>
      </c>
      <c r="I763" s="1">
        <v>1587.38</v>
      </c>
      <c r="J763" s="1">
        <v>1824.57</v>
      </c>
      <c r="K763" s="1">
        <v>1587.38</v>
      </c>
    </row>
    <row r="764" spans="1:11" x14ac:dyDescent="0.35">
      <c r="A764">
        <v>736350</v>
      </c>
      <c r="B764">
        <v>2006041</v>
      </c>
      <c r="C764" t="str">
        <f>"HALLETTSVILLE INDEP SCH DIST"</f>
        <v>HALLETTSVILLE INDEP SCH DIST</v>
      </c>
      <c r="D764" t="s">
        <v>11</v>
      </c>
      <c r="E764" t="s">
        <v>653</v>
      </c>
      <c r="F764" t="s">
        <v>654</v>
      </c>
      <c r="G764">
        <v>77964</v>
      </c>
      <c r="H764">
        <v>2010</v>
      </c>
      <c r="I764" s="1">
        <v>0</v>
      </c>
      <c r="J764" s="1">
        <v>0</v>
      </c>
    </row>
    <row r="765" spans="1:11" x14ac:dyDescent="0.35">
      <c r="A765">
        <v>736350</v>
      </c>
      <c r="B765">
        <v>2005962</v>
      </c>
      <c r="C765" t="str">
        <f>"HALLETTSVILLE INDEP SCH DIST"</f>
        <v>HALLETTSVILLE INDEP SCH DIST</v>
      </c>
      <c r="D765" t="s">
        <v>11</v>
      </c>
      <c r="E765" t="s">
        <v>653</v>
      </c>
      <c r="F765" t="s">
        <v>654</v>
      </c>
      <c r="G765">
        <v>77964</v>
      </c>
      <c r="H765">
        <v>2010</v>
      </c>
      <c r="I765" s="1">
        <v>6426</v>
      </c>
      <c r="J765" s="1">
        <v>9180</v>
      </c>
      <c r="K765" s="1">
        <v>6426</v>
      </c>
    </row>
    <row r="766" spans="1:11" x14ac:dyDescent="0.35">
      <c r="A766">
        <v>736350</v>
      </c>
      <c r="B766">
        <v>2005923</v>
      </c>
      <c r="C766" t="str">
        <f>"HALLETTSVILLE INDEP SCH DIST"</f>
        <v>HALLETTSVILLE INDEP SCH DIST</v>
      </c>
      <c r="D766" t="s">
        <v>11</v>
      </c>
      <c r="E766" t="s">
        <v>653</v>
      </c>
      <c r="F766" t="s">
        <v>654</v>
      </c>
      <c r="G766">
        <v>77964</v>
      </c>
      <c r="H766">
        <v>2010</v>
      </c>
      <c r="I766" s="1">
        <v>23436</v>
      </c>
      <c r="J766" s="1">
        <v>33480</v>
      </c>
      <c r="K766" s="1">
        <v>18319</v>
      </c>
    </row>
    <row r="767" spans="1:11" x14ac:dyDescent="0.35">
      <c r="A767">
        <v>707456</v>
      </c>
      <c r="B767">
        <v>1941188</v>
      </c>
      <c r="C767" t="str">
        <f>"HALLSBURG I.S.D"</f>
        <v>HALLSBURG I.S.D</v>
      </c>
      <c r="D767" t="s">
        <v>11</v>
      </c>
      <c r="E767" t="s">
        <v>655</v>
      </c>
      <c r="F767" t="s">
        <v>303</v>
      </c>
      <c r="G767">
        <v>76705</v>
      </c>
      <c r="H767">
        <v>2010</v>
      </c>
      <c r="I767" s="1">
        <v>4680</v>
      </c>
      <c r="J767" s="1">
        <v>7800</v>
      </c>
      <c r="K767" s="1">
        <v>4680</v>
      </c>
    </row>
    <row r="768" spans="1:11" x14ac:dyDescent="0.35">
      <c r="A768">
        <v>707456</v>
      </c>
      <c r="B768">
        <v>1941194</v>
      </c>
      <c r="C768" t="str">
        <f>"HALLSBURG I.S.D"</f>
        <v>HALLSBURG I.S.D</v>
      </c>
      <c r="D768" t="s">
        <v>11</v>
      </c>
      <c r="E768" t="s">
        <v>655</v>
      </c>
      <c r="F768" t="s">
        <v>303</v>
      </c>
      <c r="G768">
        <v>76705</v>
      </c>
      <c r="H768">
        <v>2010</v>
      </c>
      <c r="I768" s="1">
        <v>180</v>
      </c>
      <c r="J768" s="1">
        <v>300</v>
      </c>
      <c r="K768" s="1">
        <v>180</v>
      </c>
    </row>
    <row r="769" spans="1:11" x14ac:dyDescent="0.35">
      <c r="A769">
        <v>707456</v>
      </c>
      <c r="B769">
        <v>1941192</v>
      </c>
      <c r="C769" t="str">
        <f>"HALLSBURG I.S.D"</f>
        <v>HALLSBURG I.S.D</v>
      </c>
      <c r="D769" t="s">
        <v>11</v>
      </c>
      <c r="E769" t="s">
        <v>655</v>
      </c>
      <c r="F769" t="s">
        <v>303</v>
      </c>
      <c r="G769">
        <v>76705</v>
      </c>
      <c r="H769">
        <v>2010</v>
      </c>
      <c r="I769" s="1">
        <v>288</v>
      </c>
      <c r="J769" s="1">
        <v>480</v>
      </c>
      <c r="K769" s="1">
        <v>288</v>
      </c>
    </row>
    <row r="770" spans="1:11" x14ac:dyDescent="0.35">
      <c r="A770">
        <v>725453</v>
      </c>
      <c r="B770">
        <v>1977175</v>
      </c>
      <c r="C770" t="str">
        <f>"HAMILTON INDEP SCHOOL DISTRICT"</f>
        <v>HAMILTON INDEP SCHOOL DISTRICT</v>
      </c>
      <c r="D770" t="s">
        <v>11</v>
      </c>
      <c r="E770" t="s">
        <v>656</v>
      </c>
      <c r="F770" t="s">
        <v>657</v>
      </c>
      <c r="G770">
        <v>76531</v>
      </c>
      <c r="H770">
        <v>2010</v>
      </c>
      <c r="I770" s="1">
        <v>3060</v>
      </c>
      <c r="J770" s="1">
        <v>4080</v>
      </c>
      <c r="K770" s="1">
        <v>3060</v>
      </c>
    </row>
    <row r="771" spans="1:11" x14ac:dyDescent="0.35">
      <c r="A771">
        <v>749444</v>
      </c>
      <c r="B771">
        <v>2024849</v>
      </c>
      <c r="C771" t="str">
        <f>"HAMILTON INDEP SCHOOL DISTRICT"</f>
        <v>HAMILTON INDEP SCHOOL DISTRICT</v>
      </c>
      <c r="D771" t="s">
        <v>11</v>
      </c>
      <c r="E771" t="s">
        <v>656</v>
      </c>
      <c r="F771" t="s">
        <v>657</v>
      </c>
      <c r="G771">
        <v>76531</v>
      </c>
      <c r="H771">
        <v>2010</v>
      </c>
      <c r="I771" s="1">
        <v>2700</v>
      </c>
      <c r="J771" s="1">
        <v>3600</v>
      </c>
    </row>
    <row r="772" spans="1:11" x14ac:dyDescent="0.35">
      <c r="A772">
        <v>725453</v>
      </c>
      <c r="B772">
        <v>1977173</v>
      </c>
      <c r="C772" t="str">
        <f>"HAMILTON INDEP SCHOOL DISTRICT"</f>
        <v>HAMILTON INDEP SCHOOL DISTRICT</v>
      </c>
      <c r="D772" t="s">
        <v>11</v>
      </c>
      <c r="E772" t="s">
        <v>656</v>
      </c>
      <c r="F772" t="s">
        <v>657</v>
      </c>
      <c r="G772">
        <v>76531</v>
      </c>
      <c r="H772">
        <v>2010</v>
      </c>
      <c r="I772" s="1">
        <v>3750.03</v>
      </c>
      <c r="J772" s="1">
        <v>5000.04</v>
      </c>
      <c r="K772" s="1">
        <v>3750</v>
      </c>
    </row>
    <row r="773" spans="1:11" x14ac:dyDescent="0.35">
      <c r="A773">
        <v>725453</v>
      </c>
      <c r="B773">
        <v>1977174</v>
      </c>
      <c r="C773" t="str">
        <f>"HAMILTON INDEP SCHOOL DISTRICT"</f>
        <v>HAMILTON INDEP SCHOOL DISTRICT</v>
      </c>
      <c r="D773" t="s">
        <v>11</v>
      </c>
      <c r="E773" t="s">
        <v>656</v>
      </c>
      <c r="F773" t="s">
        <v>657</v>
      </c>
      <c r="G773">
        <v>76531</v>
      </c>
      <c r="H773">
        <v>2010</v>
      </c>
      <c r="I773" s="1">
        <v>12420</v>
      </c>
      <c r="J773" s="1">
        <v>16560</v>
      </c>
    </row>
    <row r="774" spans="1:11" x14ac:dyDescent="0.35">
      <c r="A774">
        <v>761702</v>
      </c>
      <c r="B774">
        <v>2057968</v>
      </c>
      <c r="C774" t="str">
        <f>"HAMILTON INDEP SCHOOL DISTRICT"</f>
        <v>HAMILTON INDEP SCHOOL DISTRICT</v>
      </c>
      <c r="D774" t="s">
        <v>11</v>
      </c>
      <c r="E774" t="s">
        <v>656</v>
      </c>
      <c r="F774" t="s">
        <v>657</v>
      </c>
      <c r="G774">
        <v>76531</v>
      </c>
      <c r="H774">
        <v>2010</v>
      </c>
      <c r="I774" s="1">
        <v>22381.95</v>
      </c>
      <c r="J774" s="1">
        <v>29842.6</v>
      </c>
      <c r="K774" s="1">
        <v>22367.7</v>
      </c>
    </row>
    <row r="775" spans="1:11" x14ac:dyDescent="0.35">
      <c r="A775">
        <v>747690</v>
      </c>
      <c r="B775">
        <v>2037809</v>
      </c>
      <c r="C775" t="str">
        <f>"HAMSHIRE-FANNETT SCHOOL DIST"</f>
        <v>HAMSHIRE-FANNETT SCHOOL DIST</v>
      </c>
      <c r="D775" t="s">
        <v>11</v>
      </c>
      <c r="E775" t="s">
        <v>658</v>
      </c>
      <c r="F775" t="s">
        <v>659</v>
      </c>
      <c r="G775">
        <v>77622</v>
      </c>
      <c r="H775">
        <v>2010</v>
      </c>
      <c r="I775" s="1">
        <v>2785.33</v>
      </c>
      <c r="J775" s="1">
        <v>5064.24</v>
      </c>
      <c r="K775" s="1">
        <v>2785.28</v>
      </c>
    </row>
    <row r="776" spans="1:11" x14ac:dyDescent="0.35">
      <c r="A776">
        <v>761681</v>
      </c>
      <c r="B776">
        <v>2057893</v>
      </c>
      <c r="C776" t="str">
        <f>"HAPPY INDEP SCHOOL DISTRICT"</f>
        <v>HAPPY INDEP SCHOOL DISTRICT</v>
      </c>
      <c r="D776" t="s">
        <v>11</v>
      </c>
      <c r="E776" t="s">
        <v>660</v>
      </c>
      <c r="F776" t="s">
        <v>661</v>
      </c>
      <c r="G776">
        <v>79042</v>
      </c>
      <c r="H776">
        <v>2010</v>
      </c>
      <c r="I776" s="1">
        <v>8322.9699999999993</v>
      </c>
      <c r="J776" s="1">
        <v>11889.96</v>
      </c>
      <c r="K776" s="1">
        <v>8322.9699999999993</v>
      </c>
    </row>
    <row r="777" spans="1:11" x14ac:dyDescent="0.35">
      <c r="A777">
        <v>761681</v>
      </c>
      <c r="B777">
        <v>2057910</v>
      </c>
      <c r="C777" t="str">
        <f>"HAPPY INDEP SCHOOL DISTRICT"</f>
        <v>HAPPY INDEP SCHOOL DISTRICT</v>
      </c>
      <c r="D777" t="s">
        <v>11</v>
      </c>
      <c r="E777" t="s">
        <v>660</v>
      </c>
      <c r="F777" t="s">
        <v>661</v>
      </c>
      <c r="G777">
        <v>79042</v>
      </c>
      <c r="H777">
        <v>2010</v>
      </c>
      <c r="I777" s="1">
        <v>2589.9699999999998</v>
      </c>
      <c r="J777" s="1">
        <v>3699.96</v>
      </c>
    </row>
    <row r="778" spans="1:11" x14ac:dyDescent="0.35">
      <c r="A778">
        <v>747715</v>
      </c>
      <c r="B778">
        <v>2026353</v>
      </c>
      <c r="C778" t="str">
        <f>"HARDIN-JEFFERSON SCHOOL DIST"</f>
        <v>HARDIN-JEFFERSON SCHOOL DIST</v>
      </c>
      <c r="D778" t="s">
        <v>11</v>
      </c>
      <c r="E778" t="s">
        <v>662</v>
      </c>
      <c r="F778" t="s">
        <v>663</v>
      </c>
      <c r="G778">
        <v>77659</v>
      </c>
      <c r="H778">
        <v>2010</v>
      </c>
      <c r="I778" s="1">
        <v>28152</v>
      </c>
      <c r="J778" s="1">
        <v>40800</v>
      </c>
      <c r="K778" s="1">
        <v>28152</v>
      </c>
    </row>
    <row r="779" spans="1:11" x14ac:dyDescent="0.35">
      <c r="A779">
        <v>747715</v>
      </c>
      <c r="B779">
        <v>2026272</v>
      </c>
      <c r="C779" t="str">
        <f>"HARDIN-JEFFERSON SCHOOL DIST"</f>
        <v>HARDIN-JEFFERSON SCHOOL DIST</v>
      </c>
      <c r="D779" t="s">
        <v>11</v>
      </c>
      <c r="E779" t="s">
        <v>662</v>
      </c>
      <c r="F779" t="s">
        <v>663</v>
      </c>
      <c r="G779">
        <v>77659</v>
      </c>
      <c r="H779">
        <v>2010</v>
      </c>
      <c r="I779" s="1">
        <v>3504.94</v>
      </c>
      <c r="J779" s="1">
        <v>5079.62</v>
      </c>
      <c r="K779" s="1">
        <v>3504.94</v>
      </c>
    </row>
    <row r="780" spans="1:11" x14ac:dyDescent="0.35">
      <c r="A780">
        <v>724388</v>
      </c>
      <c r="B780">
        <v>1999113</v>
      </c>
      <c r="C780" t="str">
        <f>"HARLANDALE INDEP SCHOOL DIST"</f>
        <v>HARLANDALE INDEP SCHOOL DIST</v>
      </c>
      <c r="D780" t="s">
        <v>11</v>
      </c>
      <c r="E780" t="s">
        <v>664</v>
      </c>
      <c r="F780" t="s">
        <v>25</v>
      </c>
      <c r="G780">
        <v>78214</v>
      </c>
      <c r="H780">
        <v>2010</v>
      </c>
      <c r="I780" s="1">
        <v>8383.5</v>
      </c>
      <c r="J780" s="1">
        <v>9315</v>
      </c>
      <c r="K780" s="1">
        <v>8383.5</v>
      </c>
    </row>
    <row r="781" spans="1:11" x14ac:dyDescent="0.35">
      <c r="A781">
        <v>724388</v>
      </c>
      <c r="B781">
        <v>1999071</v>
      </c>
      <c r="C781" t="str">
        <f>"HARLANDALE INDEP SCHOOL DIST"</f>
        <v>HARLANDALE INDEP SCHOOL DIST</v>
      </c>
      <c r="D781" t="s">
        <v>11</v>
      </c>
      <c r="E781" t="s">
        <v>664</v>
      </c>
      <c r="F781" t="s">
        <v>25</v>
      </c>
      <c r="G781">
        <v>78214</v>
      </c>
      <c r="H781">
        <v>2010</v>
      </c>
      <c r="I781" s="1">
        <v>272257.2</v>
      </c>
      <c r="J781" s="1">
        <v>302508</v>
      </c>
      <c r="K781" s="1">
        <v>215762.76</v>
      </c>
    </row>
    <row r="782" spans="1:11" x14ac:dyDescent="0.35">
      <c r="A782">
        <v>724388</v>
      </c>
      <c r="B782">
        <v>1999020</v>
      </c>
      <c r="C782" t="str">
        <f>"HARLANDALE INDEP SCHOOL DIST"</f>
        <v>HARLANDALE INDEP SCHOOL DIST</v>
      </c>
      <c r="D782" t="s">
        <v>11</v>
      </c>
      <c r="E782" t="s">
        <v>664</v>
      </c>
      <c r="F782" t="s">
        <v>25</v>
      </c>
      <c r="G782">
        <v>78214</v>
      </c>
      <c r="H782">
        <v>2010</v>
      </c>
      <c r="I782" s="1">
        <v>27000</v>
      </c>
      <c r="J782" s="1">
        <v>30000</v>
      </c>
      <c r="K782" s="1">
        <v>27000</v>
      </c>
    </row>
    <row r="783" spans="1:11" x14ac:dyDescent="0.35">
      <c r="A783">
        <v>768733</v>
      </c>
      <c r="B783">
        <v>2079265</v>
      </c>
      <c r="C783" t="str">
        <f>"HARLINGEN CONS INDEP SCH DIST"</f>
        <v>HARLINGEN CONS INDEP SCH DIST</v>
      </c>
      <c r="D783" t="s">
        <v>11</v>
      </c>
      <c r="E783" t="s">
        <v>665</v>
      </c>
      <c r="F783" t="s">
        <v>666</v>
      </c>
      <c r="G783">
        <v>78550</v>
      </c>
      <c r="H783">
        <v>2010</v>
      </c>
      <c r="I783" s="1">
        <v>71042.880000000005</v>
      </c>
      <c r="J783" s="1">
        <v>82608</v>
      </c>
      <c r="K783" s="1">
        <v>0</v>
      </c>
    </row>
    <row r="784" spans="1:11" x14ac:dyDescent="0.35">
      <c r="A784">
        <v>719185</v>
      </c>
      <c r="B784">
        <v>1952866</v>
      </c>
      <c r="C784" t="str">
        <f>"HARPER INDEP SCHOOL DISTRICT"</f>
        <v>HARPER INDEP SCHOOL DISTRICT</v>
      </c>
      <c r="D784" t="s">
        <v>11</v>
      </c>
      <c r="E784" t="s">
        <v>667</v>
      </c>
      <c r="F784" t="s">
        <v>668</v>
      </c>
      <c r="G784">
        <v>78631</v>
      </c>
      <c r="H784">
        <v>2010</v>
      </c>
      <c r="I784" s="1">
        <v>13370</v>
      </c>
      <c r="J784" s="1">
        <v>19100</v>
      </c>
      <c r="K784" s="1">
        <v>13020</v>
      </c>
    </row>
    <row r="785" spans="1:11" x14ac:dyDescent="0.35">
      <c r="A785">
        <v>750543</v>
      </c>
      <c r="B785">
        <v>2030295</v>
      </c>
      <c r="C785" t="str">
        <f>"HARRIS COUNTY  DEPARTMENT OF EDUCATION"</f>
        <v>HARRIS COUNTY  DEPARTMENT OF EDUCATION</v>
      </c>
      <c r="D785" t="s">
        <v>11</v>
      </c>
      <c r="E785" t="s">
        <v>669</v>
      </c>
      <c r="F785" t="s">
        <v>29</v>
      </c>
      <c r="G785">
        <v>77022</v>
      </c>
      <c r="H785">
        <v>2010</v>
      </c>
      <c r="I785" s="1">
        <v>2606.9</v>
      </c>
      <c r="J785" s="1">
        <v>3218.4</v>
      </c>
      <c r="K785" s="1">
        <v>2606.9</v>
      </c>
    </row>
    <row r="786" spans="1:11" x14ac:dyDescent="0.35">
      <c r="A786">
        <v>739363</v>
      </c>
      <c r="B786">
        <v>2040082</v>
      </c>
      <c r="C786" t="str">
        <f>"HARRIS COUNTY JUVENILE PROBATION EDUCATION SERVICES DIVISION"</f>
        <v>HARRIS COUNTY JUVENILE PROBATION EDUCATION SERVICES DIVISION</v>
      </c>
      <c r="D786" t="s">
        <v>11</v>
      </c>
      <c r="E786" t="s">
        <v>670</v>
      </c>
      <c r="F786" t="s">
        <v>29</v>
      </c>
      <c r="G786">
        <v>77002</v>
      </c>
      <c r="H786">
        <v>2010</v>
      </c>
      <c r="I786" s="1">
        <v>10800</v>
      </c>
      <c r="J786" s="1">
        <v>12000</v>
      </c>
      <c r="K786" s="1">
        <v>10800</v>
      </c>
    </row>
    <row r="787" spans="1:11" x14ac:dyDescent="0.35">
      <c r="A787">
        <v>758671</v>
      </c>
      <c r="B787">
        <v>2049779</v>
      </c>
      <c r="C787" t="str">
        <f>"HARROLD INDEP SCHOOL DISTRICT"</f>
        <v>HARROLD INDEP SCHOOL DISTRICT</v>
      </c>
      <c r="D787" t="s">
        <v>11</v>
      </c>
      <c r="E787" t="s">
        <v>671</v>
      </c>
      <c r="F787" t="s">
        <v>672</v>
      </c>
      <c r="G787">
        <v>76364</v>
      </c>
      <c r="H787">
        <v>2010</v>
      </c>
      <c r="I787" s="1">
        <v>663.46</v>
      </c>
      <c r="J787" s="1">
        <v>829.32</v>
      </c>
      <c r="K787" s="1">
        <v>570.92999999999995</v>
      </c>
    </row>
    <row r="788" spans="1:11" x14ac:dyDescent="0.35">
      <c r="A788">
        <v>729378</v>
      </c>
      <c r="B788">
        <v>2031611</v>
      </c>
      <c r="C788" t="str">
        <f>"HARROLD INDEP SCHOOL DISTRICT"</f>
        <v>HARROLD INDEP SCHOOL DISTRICT</v>
      </c>
      <c r="D788" t="s">
        <v>11</v>
      </c>
      <c r="E788" t="s">
        <v>671</v>
      </c>
      <c r="F788" t="s">
        <v>672</v>
      </c>
      <c r="G788">
        <v>76364</v>
      </c>
      <c r="H788">
        <v>2010</v>
      </c>
      <c r="I788" s="1">
        <v>6632.64</v>
      </c>
      <c r="J788" s="1">
        <v>8290.7999999999993</v>
      </c>
      <c r="K788" s="1">
        <v>6632.64</v>
      </c>
    </row>
    <row r="789" spans="1:11" x14ac:dyDescent="0.35">
      <c r="A789">
        <v>709162</v>
      </c>
      <c r="B789">
        <v>1937989</v>
      </c>
      <c r="C789" t="str">
        <f>"HART INDEP SCHOOL DISTRICT"</f>
        <v>HART INDEP SCHOOL DISTRICT</v>
      </c>
      <c r="D789" t="s">
        <v>11</v>
      </c>
      <c r="E789" t="s">
        <v>673</v>
      </c>
      <c r="F789" t="s">
        <v>674</v>
      </c>
      <c r="G789">
        <v>79043</v>
      </c>
      <c r="H789">
        <v>2010</v>
      </c>
      <c r="I789" s="1">
        <v>746.39</v>
      </c>
      <c r="J789" s="1">
        <v>829.32</v>
      </c>
      <c r="K789" s="1">
        <v>746.39</v>
      </c>
    </row>
    <row r="790" spans="1:11" x14ac:dyDescent="0.35">
      <c r="A790">
        <v>709162</v>
      </c>
      <c r="B790">
        <v>1937987</v>
      </c>
      <c r="C790" t="str">
        <f>"HART INDEP SCHOOL DISTRICT"</f>
        <v>HART INDEP SCHOOL DISTRICT</v>
      </c>
      <c r="D790" t="s">
        <v>11</v>
      </c>
      <c r="E790" t="s">
        <v>673</v>
      </c>
      <c r="F790" t="s">
        <v>674</v>
      </c>
      <c r="G790">
        <v>79043</v>
      </c>
      <c r="H790">
        <v>2010</v>
      </c>
      <c r="I790" s="1">
        <v>789.7</v>
      </c>
      <c r="J790" s="1">
        <v>877.44</v>
      </c>
      <c r="K790" s="1">
        <v>789.7</v>
      </c>
    </row>
    <row r="791" spans="1:11" x14ac:dyDescent="0.35">
      <c r="A791">
        <v>709162</v>
      </c>
      <c r="B791">
        <v>1937985</v>
      </c>
      <c r="C791" t="str">
        <f>"HART INDEP SCHOOL DISTRICT"</f>
        <v>HART INDEP SCHOOL DISTRICT</v>
      </c>
      <c r="D791" t="s">
        <v>11</v>
      </c>
      <c r="E791" t="s">
        <v>673</v>
      </c>
      <c r="F791" t="s">
        <v>674</v>
      </c>
      <c r="G791">
        <v>79043</v>
      </c>
      <c r="H791">
        <v>2010</v>
      </c>
      <c r="I791" s="1">
        <v>3329.96</v>
      </c>
      <c r="J791" s="1">
        <v>3699.96</v>
      </c>
      <c r="K791" s="1">
        <v>3329.96</v>
      </c>
    </row>
    <row r="792" spans="1:11" x14ac:dyDescent="0.35">
      <c r="A792">
        <v>709162</v>
      </c>
      <c r="B792">
        <v>1937983</v>
      </c>
      <c r="C792" t="str">
        <f>"HART INDEP SCHOOL DISTRICT"</f>
        <v>HART INDEP SCHOOL DISTRICT</v>
      </c>
      <c r="D792" t="s">
        <v>11</v>
      </c>
      <c r="E792" t="s">
        <v>673</v>
      </c>
      <c r="F792" t="s">
        <v>674</v>
      </c>
      <c r="G792">
        <v>79043</v>
      </c>
      <c r="H792">
        <v>2010</v>
      </c>
      <c r="I792" s="1">
        <v>10700.96</v>
      </c>
      <c r="J792" s="1">
        <v>11889.96</v>
      </c>
      <c r="K792" s="1">
        <v>10700.96</v>
      </c>
    </row>
    <row r="793" spans="1:11" x14ac:dyDescent="0.35">
      <c r="A793">
        <v>753144</v>
      </c>
      <c r="B793">
        <v>2039502</v>
      </c>
      <c r="C793" t="str">
        <f>"HARTLEY INDEP SCHOOL DISTRICT"</f>
        <v>HARTLEY INDEP SCHOOL DISTRICT</v>
      </c>
      <c r="D793" t="s">
        <v>11</v>
      </c>
      <c r="E793" t="s">
        <v>675</v>
      </c>
      <c r="F793" t="s">
        <v>676</v>
      </c>
      <c r="G793">
        <v>79044</v>
      </c>
      <c r="H793">
        <v>2010</v>
      </c>
      <c r="I793" s="1">
        <v>2960.06</v>
      </c>
      <c r="J793" s="1">
        <v>3700.08</v>
      </c>
      <c r="K793" s="1">
        <v>2960</v>
      </c>
    </row>
    <row r="794" spans="1:11" x14ac:dyDescent="0.35">
      <c r="A794">
        <v>753749</v>
      </c>
      <c r="B794">
        <v>2046273</v>
      </c>
      <c r="C794" t="str">
        <f>"HARTLEY INDEP SCHOOL DISTRICT"</f>
        <v>HARTLEY INDEP SCHOOL DISTRICT</v>
      </c>
      <c r="D794" t="s">
        <v>11</v>
      </c>
      <c r="E794" t="s">
        <v>675</v>
      </c>
      <c r="F794" t="s">
        <v>676</v>
      </c>
      <c r="G794">
        <v>79044</v>
      </c>
      <c r="H794">
        <v>2010</v>
      </c>
      <c r="I794" s="1">
        <v>14511.94</v>
      </c>
      <c r="J794" s="1">
        <v>18139.919999999998</v>
      </c>
      <c r="K794" s="1">
        <v>14112</v>
      </c>
    </row>
    <row r="795" spans="1:11" x14ac:dyDescent="0.35">
      <c r="A795">
        <v>741626</v>
      </c>
      <c r="B795">
        <v>2017445</v>
      </c>
      <c r="C795" t="str">
        <f>"HARTS BLUFF SCHOOL DISTRICT"</f>
        <v>HARTS BLUFF SCHOOL DISTRICT</v>
      </c>
      <c r="D795" t="s">
        <v>11</v>
      </c>
      <c r="E795" t="s">
        <v>677</v>
      </c>
      <c r="F795" t="s">
        <v>289</v>
      </c>
      <c r="G795">
        <v>75455</v>
      </c>
      <c r="H795">
        <v>2010</v>
      </c>
      <c r="I795" s="1">
        <v>657.38</v>
      </c>
      <c r="J795" s="1">
        <v>821.73</v>
      </c>
      <c r="K795" s="1">
        <v>657.38</v>
      </c>
    </row>
    <row r="796" spans="1:11" x14ac:dyDescent="0.35">
      <c r="A796">
        <v>716476</v>
      </c>
      <c r="B796">
        <v>1951564</v>
      </c>
      <c r="C796" t="str">
        <f>"HAWKINS INDEP SCHOOL DISTRICT"</f>
        <v>HAWKINS INDEP SCHOOL DISTRICT</v>
      </c>
      <c r="D796" t="s">
        <v>11</v>
      </c>
      <c r="E796" t="s">
        <v>678</v>
      </c>
      <c r="F796" t="s">
        <v>679</v>
      </c>
      <c r="G796">
        <v>75765</v>
      </c>
      <c r="H796">
        <v>2010</v>
      </c>
      <c r="I796" s="1">
        <v>3595.9</v>
      </c>
      <c r="J796" s="1">
        <v>4670</v>
      </c>
      <c r="K796" s="1">
        <v>2444.75</v>
      </c>
    </row>
    <row r="797" spans="1:11" x14ac:dyDescent="0.35">
      <c r="A797">
        <v>716476</v>
      </c>
      <c r="B797">
        <v>1949661</v>
      </c>
      <c r="C797" t="str">
        <f>"HAWKINS INDEP SCHOOL DISTRICT"</f>
        <v>HAWKINS INDEP SCHOOL DISTRICT</v>
      </c>
      <c r="D797" t="s">
        <v>11</v>
      </c>
      <c r="E797" t="s">
        <v>678</v>
      </c>
      <c r="F797" t="s">
        <v>679</v>
      </c>
      <c r="G797">
        <v>75765</v>
      </c>
      <c r="H797">
        <v>2010</v>
      </c>
      <c r="I797" s="1">
        <v>3016.51</v>
      </c>
      <c r="J797" s="1">
        <v>3917.55</v>
      </c>
      <c r="K797" s="1">
        <v>3016.51</v>
      </c>
    </row>
    <row r="798" spans="1:11" x14ac:dyDescent="0.35">
      <c r="A798">
        <v>745771</v>
      </c>
      <c r="B798">
        <v>2013108</v>
      </c>
      <c r="C798" t="str">
        <f>"HAYS CONS INDEP SCH DISTRICT"</f>
        <v>HAYS CONS INDEP SCH DISTRICT</v>
      </c>
      <c r="D798" t="s">
        <v>11</v>
      </c>
      <c r="E798" t="s">
        <v>680</v>
      </c>
      <c r="F798" t="s">
        <v>681</v>
      </c>
      <c r="G798">
        <v>78640</v>
      </c>
      <c r="H798">
        <v>2010</v>
      </c>
      <c r="I798" s="1">
        <v>7650</v>
      </c>
      <c r="J798" s="1">
        <v>11250</v>
      </c>
      <c r="K798" s="1">
        <v>7140</v>
      </c>
    </row>
    <row r="799" spans="1:11" x14ac:dyDescent="0.35">
      <c r="A799">
        <v>743555</v>
      </c>
      <c r="B799">
        <v>2012406</v>
      </c>
      <c r="C799" t="str">
        <f>"HAYS CONS INDEP SCH DISTRICT"</f>
        <v>HAYS CONS INDEP SCH DISTRICT</v>
      </c>
      <c r="D799" t="s">
        <v>11</v>
      </c>
      <c r="E799" t="s">
        <v>680</v>
      </c>
      <c r="F799" t="s">
        <v>681</v>
      </c>
      <c r="G799">
        <v>78640</v>
      </c>
      <c r="H799">
        <v>2010</v>
      </c>
      <c r="I799" s="1">
        <v>89047.360000000001</v>
      </c>
      <c r="J799" s="1">
        <v>130952</v>
      </c>
      <c r="K799" s="1">
        <v>82165.58</v>
      </c>
    </row>
    <row r="800" spans="1:11" x14ac:dyDescent="0.35">
      <c r="A800">
        <v>743555</v>
      </c>
      <c r="B800">
        <v>2007202</v>
      </c>
      <c r="C800" t="str">
        <f>"HAYS CONS INDEP SCH DISTRICT"</f>
        <v>HAYS CONS INDEP SCH DISTRICT</v>
      </c>
      <c r="D800" t="s">
        <v>11</v>
      </c>
      <c r="E800" t="s">
        <v>680</v>
      </c>
      <c r="F800" t="s">
        <v>681</v>
      </c>
      <c r="G800">
        <v>78640</v>
      </c>
      <c r="H800">
        <v>2010</v>
      </c>
      <c r="I800" s="1">
        <v>5059.2</v>
      </c>
      <c r="J800" s="1">
        <v>7440</v>
      </c>
      <c r="K800" s="1">
        <v>5059.2</v>
      </c>
    </row>
    <row r="801" spans="1:11" x14ac:dyDescent="0.35">
      <c r="A801">
        <v>738072</v>
      </c>
      <c r="B801">
        <v>2010333</v>
      </c>
      <c r="C801" t="str">
        <f>"HEARNE INDEP SCHOOL DISTRICT"</f>
        <v>HEARNE INDEP SCHOOL DISTRICT</v>
      </c>
      <c r="D801" t="s">
        <v>11</v>
      </c>
      <c r="E801" t="s">
        <v>682</v>
      </c>
      <c r="F801" t="s">
        <v>683</v>
      </c>
      <c r="G801">
        <v>77859</v>
      </c>
      <c r="H801">
        <v>2010</v>
      </c>
      <c r="I801" s="1">
        <v>39045.599999999999</v>
      </c>
      <c r="J801" s="1">
        <v>43384</v>
      </c>
      <c r="K801" s="1">
        <v>38694.019999999997</v>
      </c>
    </row>
    <row r="802" spans="1:11" x14ac:dyDescent="0.35">
      <c r="A802">
        <v>740992</v>
      </c>
      <c r="B802">
        <v>2000926</v>
      </c>
      <c r="C802" t="str">
        <f>"HEMPHILL INDEP SCHOOL DISTRICT"</f>
        <v>HEMPHILL INDEP SCHOOL DISTRICT</v>
      </c>
      <c r="D802" t="s">
        <v>11</v>
      </c>
      <c r="E802" t="s">
        <v>684</v>
      </c>
      <c r="F802" t="s">
        <v>685</v>
      </c>
      <c r="G802">
        <v>75948</v>
      </c>
      <c r="H802">
        <v>2010</v>
      </c>
      <c r="I802" s="1">
        <v>2088</v>
      </c>
      <c r="J802" s="1">
        <v>2610</v>
      </c>
      <c r="K802" s="1">
        <v>2088</v>
      </c>
    </row>
    <row r="803" spans="1:11" x14ac:dyDescent="0.35">
      <c r="A803">
        <v>738019</v>
      </c>
      <c r="B803">
        <v>1993324</v>
      </c>
      <c r="C803" t="str">
        <f>"HEMPHILL INDEP SCHOOL DISTRICT"</f>
        <v>HEMPHILL INDEP SCHOOL DISTRICT</v>
      </c>
      <c r="D803" t="s">
        <v>11</v>
      </c>
      <c r="E803" t="s">
        <v>684</v>
      </c>
      <c r="F803" t="s">
        <v>685</v>
      </c>
      <c r="G803">
        <v>75948</v>
      </c>
      <c r="H803">
        <v>2010</v>
      </c>
      <c r="I803" s="1">
        <v>8592</v>
      </c>
      <c r="J803" s="1">
        <v>10740</v>
      </c>
      <c r="K803" s="1">
        <v>8592</v>
      </c>
    </row>
    <row r="804" spans="1:11" x14ac:dyDescent="0.35">
      <c r="A804">
        <v>752395</v>
      </c>
      <c r="B804">
        <v>2033880</v>
      </c>
      <c r="C804" t="str">
        <f>"HEMPSTEAD INDEP SCHOOL DIST"</f>
        <v>HEMPSTEAD INDEP SCHOOL DIST</v>
      </c>
      <c r="D804" t="s">
        <v>11</v>
      </c>
      <c r="E804" t="s">
        <v>686</v>
      </c>
      <c r="F804" t="s">
        <v>687</v>
      </c>
      <c r="G804">
        <v>77445</v>
      </c>
      <c r="H804">
        <v>2010</v>
      </c>
      <c r="I804" s="1">
        <v>20430.599999999999</v>
      </c>
      <c r="J804" s="1">
        <v>24036</v>
      </c>
      <c r="K804" s="1">
        <v>20430.599999999999</v>
      </c>
    </row>
    <row r="805" spans="1:11" x14ac:dyDescent="0.35">
      <c r="A805">
        <v>747972</v>
      </c>
      <c r="B805">
        <v>2031035</v>
      </c>
      <c r="C805" t="str">
        <f>"HENDERSON INDEP SCHOOL DIST"</f>
        <v>HENDERSON INDEP SCHOOL DIST</v>
      </c>
      <c r="D805" t="s">
        <v>11</v>
      </c>
      <c r="E805" t="s">
        <v>688</v>
      </c>
      <c r="F805" t="s">
        <v>689</v>
      </c>
      <c r="G805">
        <v>75652</v>
      </c>
      <c r="H805">
        <v>2010</v>
      </c>
      <c r="I805" s="1">
        <v>3465</v>
      </c>
      <c r="J805" s="1">
        <v>4500</v>
      </c>
      <c r="K805" s="1">
        <v>2402.4</v>
      </c>
    </row>
    <row r="806" spans="1:11" x14ac:dyDescent="0.35">
      <c r="A806">
        <v>747972</v>
      </c>
      <c r="B806">
        <v>2030498</v>
      </c>
      <c r="C806" t="str">
        <f>"HENDERSON INDEP SCHOOL DIST"</f>
        <v>HENDERSON INDEP SCHOOL DIST</v>
      </c>
      <c r="D806" t="s">
        <v>11</v>
      </c>
      <c r="E806" t="s">
        <v>688</v>
      </c>
      <c r="F806" t="s">
        <v>689</v>
      </c>
      <c r="G806">
        <v>75652</v>
      </c>
      <c r="H806">
        <v>2010</v>
      </c>
      <c r="I806" s="1">
        <v>4782.28</v>
      </c>
      <c r="J806" s="1">
        <v>6210.75</v>
      </c>
      <c r="K806" s="1">
        <v>4782.28</v>
      </c>
    </row>
    <row r="807" spans="1:11" x14ac:dyDescent="0.35">
      <c r="A807">
        <v>755820</v>
      </c>
      <c r="B807">
        <v>2042654</v>
      </c>
      <c r="C807" t="str">
        <f>"HENRIETTA INDEP SCHOOL DIST"</f>
        <v>HENRIETTA INDEP SCHOOL DIST</v>
      </c>
      <c r="D807" t="s">
        <v>11</v>
      </c>
      <c r="E807" t="s">
        <v>690</v>
      </c>
      <c r="F807" t="s">
        <v>691</v>
      </c>
      <c r="G807">
        <v>76365</v>
      </c>
      <c r="H807">
        <v>2010</v>
      </c>
      <c r="I807" s="1">
        <v>7800</v>
      </c>
      <c r="J807" s="1">
        <v>12000</v>
      </c>
      <c r="K807" s="1">
        <v>7698.6</v>
      </c>
    </row>
    <row r="808" spans="1:11" x14ac:dyDescent="0.35">
      <c r="A808">
        <v>752505</v>
      </c>
      <c r="B808">
        <v>2033814</v>
      </c>
      <c r="C808" t="str">
        <f>"HEREFORD INDEP SCHOOL DISTRICT"</f>
        <v>HEREFORD INDEP SCHOOL DISTRICT</v>
      </c>
      <c r="D808" t="s">
        <v>11</v>
      </c>
      <c r="E808" t="s">
        <v>692</v>
      </c>
      <c r="F808" t="s">
        <v>693</v>
      </c>
      <c r="G808">
        <v>79045</v>
      </c>
      <c r="H808">
        <v>2010</v>
      </c>
      <c r="I808" s="1">
        <v>12384</v>
      </c>
      <c r="J808" s="1">
        <v>14400</v>
      </c>
      <c r="K808" s="1">
        <v>12384</v>
      </c>
    </row>
    <row r="809" spans="1:11" x14ac:dyDescent="0.35">
      <c r="A809">
        <v>729746</v>
      </c>
      <c r="B809">
        <v>1980276</v>
      </c>
      <c r="C809" t="str">
        <f>"HICO INDEP SCHOOL DISTRICT"</f>
        <v>HICO INDEP SCHOOL DISTRICT</v>
      </c>
      <c r="D809" t="s">
        <v>11</v>
      </c>
      <c r="E809" t="s">
        <v>694</v>
      </c>
      <c r="F809" t="s">
        <v>695</v>
      </c>
      <c r="G809">
        <v>76457</v>
      </c>
      <c r="H809">
        <v>2010</v>
      </c>
      <c r="I809" s="1">
        <v>20240.060000000001</v>
      </c>
      <c r="J809" s="1">
        <v>25300.080000000002</v>
      </c>
      <c r="K809" s="1">
        <v>20240</v>
      </c>
    </row>
    <row r="810" spans="1:11" x14ac:dyDescent="0.35">
      <c r="A810">
        <v>744270</v>
      </c>
      <c r="B810">
        <v>2072653</v>
      </c>
      <c r="C810" t="str">
        <f>"HIDALGO INDEP SCHOOL DISTRICT"</f>
        <v>HIDALGO INDEP SCHOOL DISTRICT</v>
      </c>
      <c r="D810" t="s">
        <v>11</v>
      </c>
      <c r="E810" t="s">
        <v>696</v>
      </c>
      <c r="F810" t="s">
        <v>697</v>
      </c>
      <c r="G810">
        <v>78557</v>
      </c>
      <c r="H810">
        <v>2010</v>
      </c>
      <c r="I810" s="1">
        <v>23453.39</v>
      </c>
      <c r="J810" s="1">
        <v>26059.32</v>
      </c>
      <c r="K810" s="1">
        <v>23453.39</v>
      </c>
    </row>
    <row r="811" spans="1:11" x14ac:dyDescent="0.35">
      <c r="A811">
        <v>763815</v>
      </c>
      <c r="B811">
        <v>2065304</v>
      </c>
      <c r="C811" t="str">
        <f>"HIGGINS INDEP SCHOOL DISTRICT"</f>
        <v>HIGGINS INDEP SCHOOL DISTRICT</v>
      </c>
      <c r="D811" t="s">
        <v>11</v>
      </c>
      <c r="E811" t="s">
        <v>698</v>
      </c>
      <c r="F811" t="s">
        <v>699</v>
      </c>
      <c r="G811">
        <v>79046</v>
      </c>
      <c r="H811">
        <v>2010</v>
      </c>
      <c r="I811" s="1">
        <v>5312.06</v>
      </c>
      <c r="J811" s="1">
        <v>6640.08</v>
      </c>
      <c r="K811" s="1">
        <v>5312</v>
      </c>
    </row>
    <row r="812" spans="1:11" x14ac:dyDescent="0.35">
      <c r="A812">
        <v>763815</v>
      </c>
      <c r="B812">
        <v>2065362</v>
      </c>
      <c r="C812" t="str">
        <f>"HIGGINS INDEP SCHOOL DISTRICT"</f>
        <v>HIGGINS INDEP SCHOOL DISTRICT</v>
      </c>
      <c r="D812" t="s">
        <v>11</v>
      </c>
      <c r="E812" t="s">
        <v>698</v>
      </c>
      <c r="F812" t="s">
        <v>699</v>
      </c>
      <c r="G812">
        <v>79046</v>
      </c>
      <c r="H812">
        <v>2010</v>
      </c>
      <c r="I812" s="1">
        <v>2960.06</v>
      </c>
      <c r="J812" s="1">
        <v>3700.08</v>
      </c>
      <c r="K812" s="1">
        <v>2960</v>
      </c>
    </row>
    <row r="813" spans="1:11" x14ac:dyDescent="0.35">
      <c r="A813">
        <v>766622</v>
      </c>
      <c r="B813">
        <v>2072368</v>
      </c>
      <c r="C813" t="str">
        <f>"HIGGS, CARTER, KING  GIFTED &amp; TALENTED CHARTER ACADEMY"</f>
        <v>HIGGS, CARTER, KING  GIFTED &amp; TALENTED CHARTER ACADEMY</v>
      </c>
      <c r="D813" t="s">
        <v>11</v>
      </c>
      <c r="E813" t="s">
        <v>700</v>
      </c>
      <c r="F813" t="s">
        <v>25</v>
      </c>
      <c r="G813">
        <v>78218</v>
      </c>
      <c r="H813">
        <v>2010</v>
      </c>
      <c r="I813" s="1">
        <v>19592.82</v>
      </c>
      <c r="J813" s="1">
        <v>21769.8</v>
      </c>
      <c r="K813" s="1">
        <v>19592.82</v>
      </c>
    </row>
    <row r="814" spans="1:11" x14ac:dyDescent="0.35">
      <c r="A814">
        <v>766622</v>
      </c>
      <c r="B814">
        <v>2072398</v>
      </c>
      <c r="C814" t="str">
        <f>"HIGGS, CARTER, KING  GIFTED &amp; TALENTED CHARTER ACADEMY"</f>
        <v>HIGGS, CARTER, KING  GIFTED &amp; TALENTED CHARTER ACADEMY</v>
      </c>
      <c r="D814" t="s">
        <v>11</v>
      </c>
      <c r="E814" t="s">
        <v>700</v>
      </c>
      <c r="F814" t="s">
        <v>25</v>
      </c>
      <c r="G814">
        <v>78218</v>
      </c>
      <c r="H814">
        <v>2010</v>
      </c>
      <c r="I814" s="1">
        <v>4257.92</v>
      </c>
      <c r="J814" s="1">
        <v>4731.0200000000004</v>
      </c>
    </row>
    <row r="815" spans="1:11" x14ac:dyDescent="0.35">
      <c r="A815">
        <v>726464</v>
      </c>
      <c r="B815">
        <v>1966996</v>
      </c>
      <c r="C815" t="str">
        <f>"HIGHLAND PARK IND SCHOOL DIST"</f>
        <v>HIGHLAND PARK IND SCHOOL DIST</v>
      </c>
      <c r="D815" t="s">
        <v>11</v>
      </c>
      <c r="E815" t="s">
        <v>701</v>
      </c>
      <c r="F815" t="s">
        <v>50</v>
      </c>
      <c r="G815">
        <v>79107</v>
      </c>
      <c r="H815">
        <v>2010</v>
      </c>
      <c r="I815" s="1">
        <v>2960.06</v>
      </c>
      <c r="J815" s="1">
        <v>3700.08</v>
      </c>
      <c r="K815" s="1">
        <v>2960</v>
      </c>
    </row>
    <row r="816" spans="1:11" x14ac:dyDescent="0.35">
      <c r="A816">
        <v>726464</v>
      </c>
      <c r="B816">
        <v>1966992</v>
      </c>
      <c r="C816" t="str">
        <f>"HIGHLAND PARK IND SCHOOL DIST"</f>
        <v>HIGHLAND PARK IND SCHOOL DIST</v>
      </c>
      <c r="D816" t="s">
        <v>11</v>
      </c>
      <c r="E816" t="s">
        <v>701</v>
      </c>
      <c r="F816" t="s">
        <v>50</v>
      </c>
      <c r="G816">
        <v>79107</v>
      </c>
      <c r="H816">
        <v>2010</v>
      </c>
      <c r="I816" s="1">
        <v>11312.06</v>
      </c>
      <c r="J816" s="1">
        <v>14140.08</v>
      </c>
      <c r="K816" s="1">
        <v>11312</v>
      </c>
    </row>
    <row r="817" spans="1:11" x14ac:dyDescent="0.35">
      <c r="A817">
        <v>726495</v>
      </c>
      <c r="B817">
        <v>1967053</v>
      </c>
      <c r="C817" t="str">
        <f>"HIGHLAND PARK IND SCHOOL DIST"</f>
        <v>HIGHLAND PARK IND SCHOOL DIST</v>
      </c>
      <c r="D817" t="s">
        <v>11</v>
      </c>
      <c r="E817" t="s">
        <v>701</v>
      </c>
      <c r="F817" t="s">
        <v>50</v>
      </c>
      <c r="G817">
        <v>79107</v>
      </c>
      <c r="H817">
        <v>2010</v>
      </c>
      <c r="I817" s="1">
        <v>1915.2</v>
      </c>
      <c r="J817" s="1">
        <v>2394</v>
      </c>
      <c r="K817" s="1">
        <v>1915.2</v>
      </c>
    </row>
    <row r="818" spans="1:11" x14ac:dyDescent="0.35">
      <c r="A818">
        <v>723471</v>
      </c>
      <c r="B818">
        <v>1960751</v>
      </c>
      <c r="C818" t="str">
        <f>"HILLSBORO INDEP SCHOOL DIST"</f>
        <v>HILLSBORO INDEP SCHOOL DIST</v>
      </c>
      <c r="D818" t="s">
        <v>11</v>
      </c>
      <c r="E818" t="s">
        <v>702</v>
      </c>
      <c r="F818" t="s">
        <v>703</v>
      </c>
      <c r="G818">
        <v>76645</v>
      </c>
      <c r="H818">
        <v>2010</v>
      </c>
      <c r="I818" s="1">
        <v>32757.119999999999</v>
      </c>
      <c r="J818" s="1">
        <v>37224</v>
      </c>
      <c r="K818" s="1">
        <v>32757.119999999999</v>
      </c>
    </row>
    <row r="819" spans="1:11" x14ac:dyDescent="0.35">
      <c r="A819">
        <v>723471</v>
      </c>
      <c r="B819">
        <v>1960764</v>
      </c>
      <c r="C819" t="str">
        <f>"HILLSBORO INDEP SCHOOL DIST"</f>
        <v>HILLSBORO INDEP SCHOOL DIST</v>
      </c>
      <c r="D819" t="s">
        <v>11</v>
      </c>
      <c r="E819" t="s">
        <v>702</v>
      </c>
      <c r="F819" t="s">
        <v>703</v>
      </c>
      <c r="G819">
        <v>76645</v>
      </c>
      <c r="H819">
        <v>2010</v>
      </c>
      <c r="I819" s="1">
        <v>6474.47</v>
      </c>
      <c r="J819" s="1">
        <v>7357.35</v>
      </c>
      <c r="K819" s="1">
        <v>5465.46</v>
      </c>
    </row>
    <row r="820" spans="1:11" x14ac:dyDescent="0.35">
      <c r="A820">
        <v>723471</v>
      </c>
      <c r="B820">
        <v>1960742</v>
      </c>
      <c r="C820" t="str">
        <f>"HILLSBORO INDEP SCHOOL DIST"</f>
        <v>HILLSBORO INDEP SCHOOL DIST</v>
      </c>
      <c r="D820" t="s">
        <v>11</v>
      </c>
      <c r="E820" t="s">
        <v>702</v>
      </c>
      <c r="F820" t="s">
        <v>703</v>
      </c>
      <c r="G820">
        <v>76645</v>
      </c>
      <c r="H820">
        <v>2010</v>
      </c>
      <c r="I820" s="1">
        <v>242.88</v>
      </c>
      <c r="J820" s="1">
        <v>276</v>
      </c>
      <c r="K820" s="1">
        <v>242.88</v>
      </c>
    </row>
    <row r="821" spans="1:11" x14ac:dyDescent="0.35">
      <c r="A821">
        <v>729548</v>
      </c>
      <c r="B821">
        <v>1973792</v>
      </c>
      <c r="C821" t="str">
        <f>"HITCHCOCK INDEP SCHOOL DIST"</f>
        <v>HITCHCOCK INDEP SCHOOL DIST</v>
      </c>
      <c r="D821" t="s">
        <v>11</v>
      </c>
      <c r="E821" t="s">
        <v>704</v>
      </c>
      <c r="F821" t="s">
        <v>705</v>
      </c>
      <c r="G821">
        <v>77563</v>
      </c>
      <c r="H821">
        <v>2010</v>
      </c>
      <c r="I821" s="1">
        <v>2453.19</v>
      </c>
      <c r="J821" s="1">
        <v>2819.76</v>
      </c>
      <c r="K821" s="1">
        <v>2453.19</v>
      </c>
    </row>
    <row r="822" spans="1:11" x14ac:dyDescent="0.35">
      <c r="A822">
        <v>729548</v>
      </c>
      <c r="B822">
        <v>1973882</v>
      </c>
      <c r="C822" t="str">
        <f>"HITCHCOCK INDEP SCHOOL DIST"</f>
        <v>HITCHCOCK INDEP SCHOOL DIST</v>
      </c>
      <c r="D822" t="s">
        <v>11</v>
      </c>
      <c r="E822" t="s">
        <v>704</v>
      </c>
      <c r="F822" t="s">
        <v>705</v>
      </c>
      <c r="G822">
        <v>77563</v>
      </c>
      <c r="H822">
        <v>2010</v>
      </c>
      <c r="I822" s="1">
        <v>39150</v>
      </c>
      <c r="J822" s="1">
        <v>45000</v>
      </c>
      <c r="K822" s="1">
        <v>39150</v>
      </c>
    </row>
    <row r="823" spans="1:11" x14ac:dyDescent="0.35">
      <c r="A823">
        <v>729548</v>
      </c>
      <c r="B823">
        <v>1973746</v>
      </c>
      <c r="C823" t="str">
        <f>"HITCHCOCK INDEP SCHOOL DIST"</f>
        <v>HITCHCOCK INDEP SCHOOL DIST</v>
      </c>
      <c r="D823" t="s">
        <v>11</v>
      </c>
      <c r="E823" t="s">
        <v>704</v>
      </c>
      <c r="F823" t="s">
        <v>705</v>
      </c>
      <c r="G823">
        <v>77563</v>
      </c>
      <c r="H823">
        <v>2010</v>
      </c>
      <c r="I823" s="1">
        <v>116.09</v>
      </c>
      <c r="J823" s="1">
        <v>133.44</v>
      </c>
      <c r="K823" s="1">
        <v>116.09</v>
      </c>
    </row>
    <row r="824" spans="1:11" x14ac:dyDescent="0.35">
      <c r="A824">
        <v>712263</v>
      </c>
      <c r="B824">
        <v>1955970</v>
      </c>
      <c r="C824" t="str">
        <f>"HOLLIDAY INDEP SCHOOL DISTRICT"</f>
        <v>HOLLIDAY INDEP SCHOOL DISTRICT</v>
      </c>
      <c r="D824" t="s">
        <v>11</v>
      </c>
      <c r="E824" t="s">
        <v>706</v>
      </c>
      <c r="F824" t="s">
        <v>707</v>
      </c>
      <c r="G824">
        <v>76366</v>
      </c>
      <c r="H824">
        <v>2010</v>
      </c>
      <c r="I824" s="1">
        <v>4737.6000000000004</v>
      </c>
      <c r="J824" s="1">
        <v>9475.2000000000007</v>
      </c>
      <c r="K824" s="1">
        <v>4737.6000000000004</v>
      </c>
    </row>
    <row r="825" spans="1:11" x14ac:dyDescent="0.35">
      <c r="A825">
        <v>721030</v>
      </c>
      <c r="B825">
        <v>1956134</v>
      </c>
      <c r="C825" t="str">
        <f>"HOLLIDAY INDEP SCHOOL DISTRICT"</f>
        <v>HOLLIDAY INDEP SCHOOL DISTRICT</v>
      </c>
      <c r="D825" t="s">
        <v>11</v>
      </c>
      <c r="E825" t="s">
        <v>706</v>
      </c>
      <c r="F825" t="s">
        <v>707</v>
      </c>
      <c r="G825">
        <v>76366</v>
      </c>
      <c r="H825">
        <v>2010</v>
      </c>
      <c r="I825" s="1">
        <v>1162.8</v>
      </c>
      <c r="J825" s="1">
        <v>2325.6</v>
      </c>
      <c r="K825" s="1">
        <v>1162.8</v>
      </c>
    </row>
    <row r="826" spans="1:11" x14ac:dyDescent="0.35">
      <c r="A826">
        <v>732412</v>
      </c>
      <c r="B826">
        <v>1980676</v>
      </c>
      <c r="C826" t="str">
        <f>"HOLLIDAY INDEP SCHOOL DISTRICT"</f>
        <v>HOLLIDAY INDEP SCHOOL DISTRICT</v>
      </c>
      <c r="D826" t="s">
        <v>11</v>
      </c>
      <c r="E826" t="s">
        <v>706</v>
      </c>
      <c r="F826" t="s">
        <v>707</v>
      </c>
      <c r="G826">
        <v>76366</v>
      </c>
      <c r="H826">
        <v>2010</v>
      </c>
      <c r="I826" s="1">
        <v>299.7</v>
      </c>
      <c r="J826" s="1">
        <v>599.4</v>
      </c>
      <c r="K826" s="1">
        <v>274.77999999999997</v>
      </c>
    </row>
    <row r="827" spans="1:11" x14ac:dyDescent="0.35">
      <c r="A827">
        <v>742777</v>
      </c>
      <c r="B827">
        <v>2005178</v>
      </c>
      <c r="C827" t="str">
        <f>"HONDO INDEP SCHOOL DISTRICT"</f>
        <v>HONDO INDEP SCHOOL DISTRICT</v>
      </c>
      <c r="D827" t="s">
        <v>11</v>
      </c>
      <c r="E827" t="s">
        <v>708</v>
      </c>
      <c r="F827" t="s">
        <v>709</v>
      </c>
      <c r="G827">
        <v>78861</v>
      </c>
      <c r="H827">
        <v>2010</v>
      </c>
      <c r="I827" s="1">
        <v>3696</v>
      </c>
      <c r="J827" s="1">
        <v>4800</v>
      </c>
      <c r="K827" s="1">
        <v>3696</v>
      </c>
    </row>
    <row r="828" spans="1:11" x14ac:dyDescent="0.35">
      <c r="A828">
        <v>742777</v>
      </c>
      <c r="B828">
        <v>2005188</v>
      </c>
      <c r="C828" t="str">
        <f>"HONDO INDEP SCHOOL DISTRICT"</f>
        <v>HONDO INDEP SCHOOL DISTRICT</v>
      </c>
      <c r="D828" t="s">
        <v>11</v>
      </c>
      <c r="E828" t="s">
        <v>708</v>
      </c>
      <c r="F828" t="s">
        <v>709</v>
      </c>
      <c r="G828">
        <v>78861</v>
      </c>
      <c r="H828">
        <v>2010</v>
      </c>
      <c r="I828" s="1">
        <v>5571.72</v>
      </c>
      <c r="J828" s="1">
        <v>7236</v>
      </c>
      <c r="K828" s="1">
        <v>5571.72</v>
      </c>
    </row>
    <row r="829" spans="1:11" x14ac:dyDescent="0.35">
      <c r="A829">
        <v>742777</v>
      </c>
      <c r="B829">
        <v>2005180</v>
      </c>
      <c r="C829" t="str">
        <f>"HONDO INDEP SCHOOL DISTRICT"</f>
        <v>HONDO INDEP SCHOOL DISTRICT</v>
      </c>
      <c r="D829" t="s">
        <v>11</v>
      </c>
      <c r="E829" t="s">
        <v>708</v>
      </c>
      <c r="F829" t="s">
        <v>709</v>
      </c>
      <c r="G829">
        <v>78861</v>
      </c>
      <c r="H829">
        <v>2010</v>
      </c>
      <c r="I829" s="1">
        <v>4620</v>
      </c>
      <c r="J829" s="1">
        <v>6000</v>
      </c>
      <c r="K829" s="1">
        <v>4620</v>
      </c>
    </row>
    <row r="830" spans="1:11" x14ac:dyDescent="0.35">
      <c r="A830">
        <v>742777</v>
      </c>
      <c r="B830">
        <v>2005179</v>
      </c>
      <c r="C830" t="str">
        <f>"HONDO INDEP SCHOOL DISTRICT"</f>
        <v>HONDO INDEP SCHOOL DISTRICT</v>
      </c>
      <c r="D830" t="s">
        <v>11</v>
      </c>
      <c r="E830" t="s">
        <v>708</v>
      </c>
      <c r="F830" t="s">
        <v>709</v>
      </c>
      <c r="G830">
        <v>78861</v>
      </c>
      <c r="H830">
        <v>2010</v>
      </c>
      <c r="I830" s="1">
        <v>2772</v>
      </c>
      <c r="J830" s="1">
        <v>3600</v>
      </c>
      <c r="K830" s="1">
        <v>2772</v>
      </c>
    </row>
    <row r="831" spans="1:11" x14ac:dyDescent="0.35">
      <c r="A831">
        <v>709388</v>
      </c>
      <c r="B831">
        <v>1938242</v>
      </c>
      <c r="C831" t="str">
        <f>"HOOKS INDEP SCHOOL DISTRICT"</f>
        <v>HOOKS INDEP SCHOOL DISTRICT</v>
      </c>
      <c r="D831" t="s">
        <v>11</v>
      </c>
      <c r="E831" t="s">
        <v>710</v>
      </c>
      <c r="F831" t="s">
        <v>711</v>
      </c>
      <c r="G831">
        <v>75561</v>
      </c>
      <c r="H831">
        <v>2010</v>
      </c>
      <c r="I831" s="1">
        <v>1905.3</v>
      </c>
      <c r="J831" s="1">
        <v>2610</v>
      </c>
      <c r="K831" s="1">
        <v>1905.3</v>
      </c>
    </row>
    <row r="832" spans="1:11" x14ac:dyDescent="0.35">
      <c r="A832">
        <v>767993</v>
      </c>
      <c r="B832">
        <v>2079580</v>
      </c>
      <c r="C832" t="str">
        <f>"HOUSTON GATEWAY ACADEMY-ADMINISTRATION BUILDING"</f>
        <v>HOUSTON GATEWAY ACADEMY-ADMINISTRATION BUILDING</v>
      </c>
      <c r="D832" t="s">
        <v>11</v>
      </c>
      <c r="E832" t="s">
        <v>712</v>
      </c>
      <c r="F832" t="s">
        <v>29</v>
      </c>
      <c r="G832">
        <v>77087</v>
      </c>
      <c r="H832">
        <v>2010</v>
      </c>
      <c r="I832" s="1">
        <v>46980</v>
      </c>
      <c r="J832" s="1">
        <v>52200</v>
      </c>
      <c r="K832" s="1">
        <v>41680.300000000003</v>
      </c>
    </row>
    <row r="833" spans="1:11" x14ac:dyDescent="0.35">
      <c r="A833">
        <v>768928</v>
      </c>
      <c r="B833">
        <v>2080053</v>
      </c>
      <c r="C833" t="str">
        <f>"HOUSTON GATEWAY ACADEMY-ADMINISTRATION BUILDING"</f>
        <v>HOUSTON GATEWAY ACADEMY-ADMINISTRATION BUILDING</v>
      </c>
      <c r="D833" t="s">
        <v>11</v>
      </c>
      <c r="E833" t="s">
        <v>712</v>
      </c>
      <c r="F833" t="s">
        <v>29</v>
      </c>
      <c r="G833">
        <v>77087</v>
      </c>
      <c r="H833">
        <v>2010</v>
      </c>
      <c r="I833" s="1">
        <v>36936</v>
      </c>
      <c r="J833" s="1">
        <v>41040</v>
      </c>
      <c r="K833" s="1">
        <v>16440.43</v>
      </c>
    </row>
    <row r="834" spans="1:11" x14ac:dyDescent="0.35">
      <c r="A834">
        <v>741530</v>
      </c>
      <c r="B834">
        <v>2035609</v>
      </c>
      <c r="C834" t="str">
        <f>"HOUSTON INDEP SCHOOL DISTRICT"</f>
        <v>HOUSTON INDEP SCHOOL DISTRICT</v>
      </c>
      <c r="D834" t="s">
        <v>11</v>
      </c>
      <c r="E834" t="s">
        <v>713</v>
      </c>
      <c r="F834" t="s">
        <v>29</v>
      </c>
      <c r="G834">
        <v>77092</v>
      </c>
      <c r="H834">
        <v>2010</v>
      </c>
      <c r="I834" s="1">
        <v>211216.62</v>
      </c>
      <c r="J834" s="1">
        <v>455520</v>
      </c>
      <c r="K834" s="1">
        <v>211216.62</v>
      </c>
    </row>
    <row r="835" spans="1:11" x14ac:dyDescent="0.35">
      <c r="A835">
        <v>741530</v>
      </c>
      <c r="B835">
        <v>2033413</v>
      </c>
      <c r="C835" t="str">
        <f>"HOUSTON INDEP SCHOOL DISTRICT"</f>
        <v>HOUSTON INDEP SCHOOL DISTRICT</v>
      </c>
      <c r="D835" t="s">
        <v>11</v>
      </c>
      <c r="E835" t="s">
        <v>713</v>
      </c>
      <c r="F835" t="s">
        <v>29</v>
      </c>
      <c r="G835">
        <v>77092</v>
      </c>
      <c r="H835">
        <v>2010</v>
      </c>
      <c r="I835" s="1">
        <v>44309.4</v>
      </c>
      <c r="J835" s="1">
        <v>1367640</v>
      </c>
      <c r="K835" s="1">
        <v>44309.4</v>
      </c>
    </row>
    <row r="836" spans="1:11" x14ac:dyDescent="0.35">
      <c r="A836">
        <v>731444</v>
      </c>
      <c r="B836">
        <v>1981372</v>
      </c>
      <c r="C836" t="str">
        <f>"HOWE INDEP SCHOOL DISTRICT"</f>
        <v>HOWE INDEP SCHOOL DISTRICT</v>
      </c>
      <c r="D836" t="s">
        <v>11</v>
      </c>
      <c r="E836" t="s">
        <v>714</v>
      </c>
      <c r="F836" t="s">
        <v>715</v>
      </c>
      <c r="G836">
        <v>75459</v>
      </c>
      <c r="H836">
        <v>2010</v>
      </c>
      <c r="I836" s="1">
        <v>9976.2000000000007</v>
      </c>
      <c r="J836" s="1">
        <v>15348</v>
      </c>
    </row>
    <row r="837" spans="1:11" x14ac:dyDescent="0.35">
      <c r="A837">
        <v>768819</v>
      </c>
      <c r="B837">
        <v>2079770</v>
      </c>
      <c r="C837" t="str">
        <f>"HOWE INDEP SCHOOL DISTRICT"</f>
        <v>HOWE INDEP SCHOOL DISTRICT</v>
      </c>
      <c r="D837" t="s">
        <v>11</v>
      </c>
      <c r="E837" t="s">
        <v>714</v>
      </c>
      <c r="F837" t="s">
        <v>715</v>
      </c>
      <c r="G837">
        <v>75459</v>
      </c>
      <c r="H837">
        <v>2010</v>
      </c>
      <c r="I837" s="1">
        <v>3315</v>
      </c>
      <c r="J837" s="1">
        <v>5100</v>
      </c>
    </row>
    <row r="838" spans="1:11" x14ac:dyDescent="0.35">
      <c r="A838">
        <v>723577</v>
      </c>
      <c r="B838">
        <v>2036954</v>
      </c>
      <c r="C838" t="str">
        <f>"HUBBARD INDEP SCHOOL DISTRICT"</f>
        <v>HUBBARD INDEP SCHOOL DISTRICT</v>
      </c>
      <c r="D838" t="s">
        <v>11</v>
      </c>
      <c r="E838" t="s">
        <v>716</v>
      </c>
      <c r="F838" t="s">
        <v>717</v>
      </c>
      <c r="G838">
        <v>76648</v>
      </c>
      <c r="H838">
        <v>2010</v>
      </c>
      <c r="I838" s="1">
        <v>18105</v>
      </c>
      <c r="J838" s="1">
        <v>21300</v>
      </c>
      <c r="K838" s="1">
        <v>18105</v>
      </c>
    </row>
    <row r="839" spans="1:11" x14ac:dyDescent="0.35">
      <c r="A839">
        <v>723577</v>
      </c>
      <c r="B839">
        <v>2037075</v>
      </c>
      <c r="C839" t="str">
        <f>"HUBBARD INDEP SCHOOL DISTRICT"</f>
        <v>HUBBARD INDEP SCHOOL DISTRICT</v>
      </c>
      <c r="D839" t="s">
        <v>11</v>
      </c>
      <c r="E839" t="s">
        <v>716</v>
      </c>
      <c r="F839" t="s">
        <v>717</v>
      </c>
      <c r="G839">
        <v>76648</v>
      </c>
      <c r="H839">
        <v>2010</v>
      </c>
      <c r="I839" s="1">
        <v>3601.88</v>
      </c>
      <c r="J839" s="1">
        <v>4237.5</v>
      </c>
      <c r="K839" s="1">
        <v>3601.88</v>
      </c>
    </row>
    <row r="840" spans="1:11" x14ac:dyDescent="0.35">
      <c r="A840">
        <v>723577</v>
      </c>
      <c r="B840">
        <v>2036990</v>
      </c>
      <c r="C840" t="str">
        <f>"HUBBARD INDEP SCHOOL DISTRICT"</f>
        <v>HUBBARD INDEP SCHOOL DISTRICT</v>
      </c>
      <c r="D840" t="s">
        <v>11</v>
      </c>
      <c r="E840" t="s">
        <v>716</v>
      </c>
      <c r="F840" t="s">
        <v>717</v>
      </c>
      <c r="G840">
        <v>76648</v>
      </c>
      <c r="H840">
        <v>2010</v>
      </c>
      <c r="I840" s="1">
        <v>614.17999999999995</v>
      </c>
      <c r="J840" s="1">
        <v>722.57</v>
      </c>
      <c r="K840" s="1">
        <v>614.17999999999995</v>
      </c>
    </row>
    <row r="841" spans="1:11" x14ac:dyDescent="0.35">
      <c r="A841">
        <v>723555</v>
      </c>
      <c r="B841">
        <v>1960843</v>
      </c>
      <c r="C841" t="str">
        <f t="shared" ref="C841:C846" si="10">"HUCKABAY INDEP SCHOOL DISTRICT"</f>
        <v>HUCKABAY INDEP SCHOOL DISTRICT</v>
      </c>
      <c r="D841" t="s">
        <v>11</v>
      </c>
      <c r="E841" t="s">
        <v>718</v>
      </c>
      <c r="F841" t="s">
        <v>719</v>
      </c>
      <c r="G841">
        <v>76401</v>
      </c>
      <c r="H841">
        <v>2010</v>
      </c>
      <c r="I841" s="1">
        <v>5880</v>
      </c>
      <c r="J841" s="1">
        <v>8400</v>
      </c>
      <c r="K841" s="1">
        <v>5880</v>
      </c>
    </row>
    <row r="842" spans="1:11" x14ac:dyDescent="0.35">
      <c r="A842">
        <v>723555</v>
      </c>
      <c r="B842">
        <v>1960860</v>
      </c>
      <c r="C842" t="str">
        <f t="shared" si="10"/>
        <v>HUCKABAY INDEP SCHOOL DISTRICT</v>
      </c>
      <c r="D842" t="s">
        <v>11</v>
      </c>
      <c r="E842" t="s">
        <v>718</v>
      </c>
      <c r="F842" t="s">
        <v>719</v>
      </c>
      <c r="G842">
        <v>76401</v>
      </c>
      <c r="H842">
        <v>2010</v>
      </c>
      <c r="I842" s="1">
        <v>277.2</v>
      </c>
      <c r="J842" s="1">
        <v>396</v>
      </c>
      <c r="K842" s="1">
        <v>277</v>
      </c>
    </row>
    <row r="843" spans="1:11" x14ac:dyDescent="0.35">
      <c r="A843">
        <v>723555</v>
      </c>
      <c r="B843">
        <v>1960849</v>
      </c>
      <c r="C843" t="str">
        <f t="shared" si="10"/>
        <v>HUCKABAY INDEP SCHOOL DISTRICT</v>
      </c>
      <c r="D843" t="s">
        <v>11</v>
      </c>
      <c r="E843" t="s">
        <v>718</v>
      </c>
      <c r="F843" t="s">
        <v>719</v>
      </c>
      <c r="G843">
        <v>76401</v>
      </c>
      <c r="H843">
        <v>2010</v>
      </c>
      <c r="I843" s="1">
        <v>2520</v>
      </c>
      <c r="J843" s="1">
        <v>3600</v>
      </c>
      <c r="K843" s="1">
        <v>2520</v>
      </c>
    </row>
    <row r="844" spans="1:11" x14ac:dyDescent="0.35">
      <c r="A844">
        <v>723555</v>
      </c>
      <c r="B844">
        <v>1960852</v>
      </c>
      <c r="C844" t="str">
        <f t="shared" si="10"/>
        <v>HUCKABAY INDEP SCHOOL DISTRICT</v>
      </c>
      <c r="D844" t="s">
        <v>11</v>
      </c>
      <c r="E844" t="s">
        <v>718</v>
      </c>
      <c r="F844" t="s">
        <v>719</v>
      </c>
      <c r="G844">
        <v>76401</v>
      </c>
      <c r="H844">
        <v>2010</v>
      </c>
      <c r="I844" s="1">
        <v>1399.19</v>
      </c>
      <c r="J844" s="1">
        <v>1998.84</v>
      </c>
      <c r="K844" s="1">
        <v>1399.19</v>
      </c>
    </row>
    <row r="845" spans="1:11" x14ac:dyDescent="0.35">
      <c r="A845">
        <v>723555</v>
      </c>
      <c r="B845">
        <v>1960862</v>
      </c>
      <c r="C845" t="str">
        <f t="shared" si="10"/>
        <v>HUCKABAY INDEP SCHOOL DISTRICT</v>
      </c>
      <c r="D845" t="s">
        <v>11</v>
      </c>
      <c r="E845" t="s">
        <v>718</v>
      </c>
      <c r="F845" t="s">
        <v>719</v>
      </c>
      <c r="G845">
        <v>76401</v>
      </c>
      <c r="H845">
        <v>2010</v>
      </c>
      <c r="I845" s="1">
        <v>875.03</v>
      </c>
      <c r="J845" s="1">
        <v>1250.04</v>
      </c>
      <c r="K845" s="1">
        <v>875</v>
      </c>
    </row>
    <row r="846" spans="1:11" x14ac:dyDescent="0.35">
      <c r="A846">
        <v>723555</v>
      </c>
      <c r="B846">
        <v>1960857</v>
      </c>
      <c r="C846" t="str">
        <f t="shared" si="10"/>
        <v>HUCKABAY INDEP SCHOOL DISTRICT</v>
      </c>
      <c r="D846" t="s">
        <v>11</v>
      </c>
      <c r="E846" t="s">
        <v>718</v>
      </c>
      <c r="F846" t="s">
        <v>719</v>
      </c>
      <c r="G846">
        <v>76401</v>
      </c>
      <c r="H846">
        <v>2010</v>
      </c>
      <c r="I846" s="1">
        <v>840</v>
      </c>
      <c r="J846" s="1">
        <v>1200</v>
      </c>
      <c r="K846" s="1">
        <v>840</v>
      </c>
    </row>
    <row r="847" spans="1:11" x14ac:dyDescent="0.35">
      <c r="A847">
        <v>740396</v>
      </c>
      <c r="B847">
        <v>2014582</v>
      </c>
      <c r="C847" t="str">
        <f>"HUDSON INDEP SCHOOL DISTRICT"</f>
        <v>HUDSON INDEP SCHOOL DISTRICT</v>
      </c>
      <c r="D847" t="s">
        <v>11</v>
      </c>
      <c r="E847" t="s">
        <v>720</v>
      </c>
      <c r="F847" t="s">
        <v>721</v>
      </c>
      <c r="G847">
        <v>75904</v>
      </c>
      <c r="H847">
        <v>2010</v>
      </c>
      <c r="I847" s="1">
        <v>46792.75</v>
      </c>
      <c r="J847" s="1">
        <v>60769.8</v>
      </c>
      <c r="K847" s="1">
        <v>3899.4</v>
      </c>
    </row>
    <row r="848" spans="1:11" x14ac:dyDescent="0.35">
      <c r="A848">
        <v>740396</v>
      </c>
      <c r="B848">
        <v>2014619</v>
      </c>
      <c r="C848" t="str">
        <f>"HUDSON INDEP SCHOOL DISTRICT"</f>
        <v>HUDSON INDEP SCHOOL DISTRICT</v>
      </c>
      <c r="D848" t="s">
        <v>11</v>
      </c>
      <c r="E848" t="s">
        <v>720</v>
      </c>
      <c r="F848" t="s">
        <v>721</v>
      </c>
      <c r="G848">
        <v>75904</v>
      </c>
      <c r="H848">
        <v>2010</v>
      </c>
      <c r="I848" s="1">
        <v>23090.76</v>
      </c>
      <c r="J848" s="1">
        <v>29988</v>
      </c>
      <c r="K848" s="1">
        <v>23090.76</v>
      </c>
    </row>
    <row r="849" spans="1:11" x14ac:dyDescent="0.35">
      <c r="A849">
        <v>740396</v>
      </c>
      <c r="B849">
        <v>2014563</v>
      </c>
      <c r="C849" t="str">
        <f>"HUDSON INDEP SCHOOL DISTRICT"</f>
        <v>HUDSON INDEP SCHOOL DISTRICT</v>
      </c>
      <c r="D849" t="s">
        <v>11</v>
      </c>
      <c r="E849" t="s">
        <v>720</v>
      </c>
      <c r="F849" t="s">
        <v>721</v>
      </c>
      <c r="G849">
        <v>75904</v>
      </c>
      <c r="H849">
        <v>2010</v>
      </c>
      <c r="I849" s="1">
        <v>6513.74</v>
      </c>
      <c r="J849" s="1">
        <v>8459.4</v>
      </c>
      <c r="K849" s="1">
        <v>6513.72</v>
      </c>
    </row>
    <row r="850" spans="1:11" x14ac:dyDescent="0.35">
      <c r="A850">
        <v>740396</v>
      </c>
      <c r="B850">
        <v>2014598</v>
      </c>
      <c r="C850" t="str">
        <f>"HUDSON INDEP SCHOOL DISTRICT"</f>
        <v>HUDSON INDEP SCHOOL DISTRICT</v>
      </c>
      <c r="D850" t="s">
        <v>11</v>
      </c>
      <c r="E850" t="s">
        <v>720</v>
      </c>
      <c r="F850" t="s">
        <v>721</v>
      </c>
      <c r="G850">
        <v>75904</v>
      </c>
      <c r="H850">
        <v>2010</v>
      </c>
      <c r="I850" s="1">
        <v>59930.64</v>
      </c>
      <c r="J850" s="1">
        <v>77832</v>
      </c>
      <c r="K850" s="1">
        <v>4994.22</v>
      </c>
    </row>
    <row r="851" spans="1:11" x14ac:dyDescent="0.35">
      <c r="A851">
        <v>740396</v>
      </c>
      <c r="B851">
        <v>2014326</v>
      </c>
      <c r="C851" t="str">
        <f>"HUDSON INDEP SCHOOL DISTRICT"</f>
        <v>HUDSON INDEP SCHOOL DISTRICT</v>
      </c>
      <c r="D851" t="s">
        <v>11</v>
      </c>
      <c r="E851" t="s">
        <v>720</v>
      </c>
      <c r="F851" t="s">
        <v>721</v>
      </c>
      <c r="G851">
        <v>75904</v>
      </c>
      <c r="H851">
        <v>2010</v>
      </c>
      <c r="I851" s="1">
        <v>22176</v>
      </c>
      <c r="J851" s="1">
        <v>28800</v>
      </c>
      <c r="K851" s="1">
        <v>22176</v>
      </c>
    </row>
    <row r="852" spans="1:11" x14ac:dyDescent="0.35">
      <c r="A852">
        <v>740547</v>
      </c>
      <c r="B852">
        <v>2020232</v>
      </c>
      <c r="C852" t="str">
        <f>"HUFFMAN INDEP SCHOOL DISTRICT"</f>
        <v>HUFFMAN INDEP SCHOOL DISTRICT</v>
      </c>
      <c r="D852" t="s">
        <v>11</v>
      </c>
      <c r="E852" t="s">
        <v>722</v>
      </c>
      <c r="F852" t="s">
        <v>723</v>
      </c>
      <c r="G852">
        <v>77336</v>
      </c>
      <c r="H852">
        <v>2010</v>
      </c>
      <c r="I852" s="1">
        <v>6960</v>
      </c>
      <c r="J852" s="1">
        <v>12000</v>
      </c>
      <c r="K852" s="1">
        <v>6960</v>
      </c>
    </row>
    <row r="853" spans="1:11" x14ac:dyDescent="0.35">
      <c r="A853">
        <v>740547</v>
      </c>
      <c r="B853">
        <v>2044539</v>
      </c>
      <c r="C853" t="str">
        <f>"HUFFMAN INDEP SCHOOL DISTRICT"</f>
        <v>HUFFMAN INDEP SCHOOL DISTRICT</v>
      </c>
      <c r="D853" t="s">
        <v>11</v>
      </c>
      <c r="E853" t="s">
        <v>722</v>
      </c>
      <c r="F853" t="s">
        <v>723</v>
      </c>
      <c r="G853">
        <v>77336</v>
      </c>
      <c r="H853">
        <v>2010</v>
      </c>
      <c r="I853" s="1">
        <v>7613.72</v>
      </c>
      <c r="J853" s="1">
        <v>13127.1</v>
      </c>
      <c r="K853" s="1">
        <v>7613.72</v>
      </c>
    </row>
    <row r="854" spans="1:11" x14ac:dyDescent="0.35">
      <c r="A854">
        <v>750000</v>
      </c>
      <c r="B854">
        <v>2037195</v>
      </c>
      <c r="C854" t="str">
        <f>"HULL-DAISETTA INDEP SCH DIST"</f>
        <v>HULL-DAISETTA INDEP SCH DIST</v>
      </c>
      <c r="D854" t="s">
        <v>11</v>
      </c>
      <c r="E854" t="s">
        <v>724</v>
      </c>
      <c r="F854" t="s">
        <v>725</v>
      </c>
      <c r="G854">
        <v>77533</v>
      </c>
      <c r="H854">
        <v>2010</v>
      </c>
      <c r="I854" s="1">
        <v>1848.75</v>
      </c>
      <c r="J854" s="1">
        <v>2175</v>
      </c>
      <c r="K854" s="1">
        <v>1848.75</v>
      </c>
    </row>
    <row r="855" spans="1:11" x14ac:dyDescent="0.35">
      <c r="A855">
        <v>750000</v>
      </c>
      <c r="B855">
        <v>2053280</v>
      </c>
      <c r="C855" t="str">
        <f>"HULL-DAISETTA INDEP SCH DIST"</f>
        <v>HULL-DAISETTA INDEP SCH DIST</v>
      </c>
      <c r="D855" t="s">
        <v>11</v>
      </c>
      <c r="E855" t="s">
        <v>724</v>
      </c>
      <c r="F855" t="s">
        <v>725</v>
      </c>
      <c r="G855">
        <v>77533</v>
      </c>
      <c r="H855">
        <v>2010</v>
      </c>
      <c r="I855" s="1">
        <v>19828.8</v>
      </c>
      <c r="J855" s="1">
        <v>23328</v>
      </c>
      <c r="K855" s="1">
        <v>19828.8</v>
      </c>
    </row>
    <row r="856" spans="1:11" x14ac:dyDescent="0.35">
      <c r="A856">
        <v>711743</v>
      </c>
      <c r="B856">
        <v>1943188</v>
      </c>
      <c r="C856" t="str">
        <f>"HUMBLE INDEPENDENT SCHOOL DISTRICT"</f>
        <v>HUMBLE INDEPENDENT SCHOOL DISTRICT</v>
      </c>
      <c r="D856" t="s">
        <v>11</v>
      </c>
      <c r="E856" t="s">
        <v>726</v>
      </c>
      <c r="F856" t="s">
        <v>727</v>
      </c>
      <c r="G856">
        <v>77338</v>
      </c>
      <c r="H856">
        <v>2010</v>
      </c>
      <c r="I856" s="1">
        <v>23654.400000000001</v>
      </c>
      <c r="J856" s="1">
        <v>42240</v>
      </c>
      <c r="K856" s="1">
        <v>23654.400000000001</v>
      </c>
    </row>
    <row r="857" spans="1:11" x14ac:dyDescent="0.35">
      <c r="A857">
        <v>721155</v>
      </c>
      <c r="B857">
        <v>1970550</v>
      </c>
      <c r="C857" t="str">
        <f>"HUNT INDEP SCHOOL DISTRICT"</f>
        <v>HUNT INDEP SCHOOL DISTRICT</v>
      </c>
      <c r="D857" t="s">
        <v>11</v>
      </c>
      <c r="E857" t="s">
        <v>728</v>
      </c>
      <c r="F857" t="s">
        <v>729</v>
      </c>
      <c r="G857">
        <v>78024</v>
      </c>
      <c r="H857">
        <v>2010</v>
      </c>
      <c r="I857" s="1">
        <v>2736</v>
      </c>
      <c r="J857" s="1">
        <v>4560</v>
      </c>
      <c r="K857" s="1">
        <v>2736</v>
      </c>
    </row>
    <row r="858" spans="1:11" x14ac:dyDescent="0.35">
      <c r="A858">
        <v>724408</v>
      </c>
      <c r="B858">
        <v>1962450</v>
      </c>
      <c r="C858" t="str">
        <f>"HUNTINGTON INDEP SCHOOL DIST"</f>
        <v>HUNTINGTON INDEP SCHOOL DIST</v>
      </c>
      <c r="D858" t="s">
        <v>11</v>
      </c>
      <c r="E858" t="s">
        <v>730</v>
      </c>
      <c r="F858" t="s">
        <v>731</v>
      </c>
      <c r="G858">
        <v>75949</v>
      </c>
      <c r="H858">
        <v>2010</v>
      </c>
      <c r="I858" s="1">
        <v>12810</v>
      </c>
      <c r="J858" s="1">
        <v>18300</v>
      </c>
      <c r="K858" s="1">
        <v>12810</v>
      </c>
    </row>
    <row r="859" spans="1:11" x14ac:dyDescent="0.35">
      <c r="A859">
        <v>750303</v>
      </c>
      <c r="B859">
        <v>2028487</v>
      </c>
      <c r="C859" t="str">
        <f>"HUNTSVILLE INDEP SCHOOL DIST"</f>
        <v>HUNTSVILLE INDEP SCHOOL DIST</v>
      </c>
      <c r="D859" t="s">
        <v>11</v>
      </c>
      <c r="E859" t="s">
        <v>732</v>
      </c>
      <c r="F859" t="s">
        <v>733</v>
      </c>
      <c r="G859">
        <v>77320</v>
      </c>
      <c r="H859">
        <v>2010</v>
      </c>
      <c r="I859" s="1">
        <v>11306.04</v>
      </c>
      <c r="J859" s="1">
        <v>14494.92</v>
      </c>
      <c r="K859" s="1">
        <v>11306.04</v>
      </c>
    </row>
    <row r="860" spans="1:11" x14ac:dyDescent="0.35">
      <c r="A860">
        <v>750303</v>
      </c>
      <c r="B860">
        <v>2026940</v>
      </c>
      <c r="C860" t="str">
        <f>"HUNTSVILLE INDEP SCHOOL DIST"</f>
        <v>HUNTSVILLE INDEP SCHOOL DIST</v>
      </c>
      <c r="D860" t="s">
        <v>11</v>
      </c>
      <c r="E860" t="s">
        <v>732</v>
      </c>
      <c r="F860" t="s">
        <v>733</v>
      </c>
      <c r="G860">
        <v>77320</v>
      </c>
      <c r="H860">
        <v>2010</v>
      </c>
      <c r="I860" s="1">
        <v>26208</v>
      </c>
      <c r="J860" s="1">
        <v>33600</v>
      </c>
      <c r="K860" s="1">
        <v>26208</v>
      </c>
    </row>
    <row r="861" spans="1:11" x14ac:dyDescent="0.35">
      <c r="A861">
        <v>750303</v>
      </c>
      <c r="B861">
        <v>2026866</v>
      </c>
      <c r="C861" t="str">
        <f>"HUNTSVILLE INDEP SCHOOL DIST"</f>
        <v>HUNTSVILLE INDEP SCHOOL DIST</v>
      </c>
      <c r="D861" t="s">
        <v>11</v>
      </c>
      <c r="E861" t="s">
        <v>732</v>
      </c>
      <c r="F861" t="s">
        <v>733</v>
      </c>
      <c r="G861">
        <v>77320</v>
      </c>
      <c r="H861">
        <v>2010</v>
      </c>
      <c r="I861" s="1">
        <v>7039.56</v>
      </c>
      <c r="J861" s="1">
        <v>9025.08</v>
      </c>
      <c r="K861" s="1">
        <v>7039.56</v>
      </c>
    </row>
    <row r="862" spans="1:11" x14ac:dyDescent="0.35">
      <c r="A862">
        <v>769074</v>
      </c>
      <c r="B862">
        <v>2080528</v>
      </c>
      <c r="C862" t="str">
        <f>"HURST-EULESS-BEDFORD SCH. DIST."</f>
        <v>HURST-EULESS-BEDFORD SCH. DIST.</v>
      </c>
      <c r="D862" t="s">
        <v>11</v>
      </c>
      <c r="E862" t="s">
        <v>734</v>
      </c>
      <c r="F862" t="s">
        <v>735</v>
      </c>
      <c r="G862">
        <v>76022</v>
      </c>
      <c r="H862">
        <v>2010</v>
      </c>
      <c r="I862" s="1">
        <v>8126.22</v>
      </c>
      <c r="J862" s="1">
        <v>11950.32</v>
      </c>
      <c r="K862" s="1">
        <v>8126.04</v>
      </c>
    </row>
    <row r="863" spans="1:11" x14ac:dyDescent="0.35">
      <c r="A863">
        <v>769074</v>
      </c>
      <c r="B863">
        <v>2080527</v>
      </c>
      <c r="C863" t="str">
        <f>"HURST-EULESS-BEDFORD SCH. DIST."</f>
        <v>HURST-EULESS-BEDFORD SCH. DIST.</v>
      </c>
      <c r="D863" t="s">
        <v>11</v>
      </c>
      <c r="E863" t="s">
        <v>734</v>
      </c>
      <c r="F863" t="s">
        <v>735</v>
      </c>
      <c r="G863">
        <v>76022</v>
      </c>
      <c r="H863">
        <v>2010</v>
      </c>
      <c r="I863" s="1">
        <v>15912</v>
      </c>
      <c r="J863" s="1">
        <v>23400</v>
      </c>
      <c r="K863" s="1">
        <v>15878</v>
      </c>
    </row>
    <row r="864" spans="1:11" x14ac:dyDescent="0.35">
      <c r="A864">
        <v>762872</v>
      </c>
      <c r="B864">
        <v>2064058</v>
      </c>
      <c r="C864" t="str">
        <f>"HUTTO INDEP SCHOOL DISTRICT"</f>
        <v>HUTTO INDEP SCHOOL DISTRICT</v>
      </c>
      <c r="D864" t="s">
        <v>11</v>
      </c>
      <c r="E864" t="s">
        <v>736</v>
      </c>
      <c r="F864" t="s">
        <v>737</v>
      </c>
      <c r="G864">
        <v>78634</v>
      </c>
      <c r="H864">
        <v>2010</v>
      </c>
      <c r="I864" s="1">
        <v>6108.48</v>
      </c>
      <c r="J864" s="1">
        <v>9696</v>
      </c>
      <c r="K864" s="1">
        <v>6108.48</v>
      </c>
    </row>
    <row r="865" spans="1:11" x14ac:dyDescent="0.35">
      <c r="A865">
        <v>745913</v>
      </c>
      <c r="B865">
        <v>2060905</v>
      </c>
      <c r="C865" t="str">
        <f>"HUTTO INDEP SCHOOL DISTRICT"</f>
        <v>HUTTO INDEP SCHOOL DISTRICT</v>
      </c>
      <c r="D865" t="s">
        <v>11</v>
      </c>
      <c r="E865" t="s">
        <v>736</v>
      </c>
      <c r="F865" t="s">
        <v>737</v>
      </c>
      <c r="G865">
        <v>78634</v>
      </c>
      <c r="H865">
        <v>2010</v>
      </c>
      <c r="I865" s="1">
        <v>23247</v>
      </c>
      <c r="J865" s="1">
        <v>36900</v>
      </c>
      <c r="K865" s="1">
        <v>20947.5</v>
      </c>
    </row>
    <row r="866" spans="1:11" x14ac:dyDescent="0.35">
      <c r="A866">
        <v>751131</v>
      </c>
      <c r="B866">
        <v>2029490</v>
      </c>
      <c r="C866" t="str">
        <f>"IDALOU INDEP SCHOOL DISTRICT"</f>
        <v>IDALOU INDEP SCHOOL DISTRICT</v>
      </c>
      <c r="D866" t="s">
        <v>11</v>
      </c>
      <c r="E866" t="s">
        <v>738</v>
      </c>
      <c r="F866" t="s">
        <v>739</v>
      </c>
      <c r="G866">
        <v>79329</v>
      </c>
      <c r="H866">
        <v>2010</v>
      </c>
      <c r="I866" s="1">
        <v>2836.75</v>
      </c>
      <c r="J866" s="1">
        <v>4976.75</v>
      </c>
      <c r="K866" s="1">
        <v>2836.75</v>
      </c>
    </row>
    <row r="867" spans="1:11" x14ac:dyDescent="0.35">
      <c r="A867">
        <v>751131</v>
      </c>
      <c r="B867">
        <v>2029400</v>
      </c>
      <c r="C867" t="str">
        <f>"IDALOU INDEP SCHOOL DISTRICT"</f>
        <v>IDALOU INDEP SCHOOL DISTRICT</v>
      </c>
      <c r="D867" t="s">
        <v>11</v>
      </c>
      <c r="E867" t="s">
        <v>738</v>
      </c>
      <c r="F867" t="s">
        <v>739</v>
      </c>
      <c r="G867">
        <v>79329</v>
      </c>
      <c r="H867">
        <v>2010</v>
      </c>
      <c r="I867" s="1">
        <v>32832</v>
      </c>
      <c r="J867" s="1">
        <v>57600</v>
      </c>
      <c r="K867" s="1">
        <v>14072.02</v>
      </c>
    </row>
    <row r="868" spans="1:11" x14ac:dyDescent="0.35">
      <c r="A868">
        <v>758253</v>
      </c>
      <c r="B868">
        <v>2049153</v>
      </c>
      <c r="C868" t="str">
        <f>"IDEA PUBLIC SCHOOLS"</f>
        <v>IDEA PUBLIC SCHOOLS</v>
      </c>
      <c r="D868" t="s">
        <v>11</v>
      </c>
      <c r="E868" t="s">
        <v>740</v>
      </c>
      <c r="F868" t="s">
        <v>454</v>
      </c>
      <c r="G868">
        <v>78537</v>
      </c>
      <c r="H868">
        <v>2010</v>
      </c>
      <c r="I868" s="1">
        <v>209392.8</v>
      </c>
      <c r="J868" s="1">
        <v>243480</v>
      </c>
      <c r="K868" s="1">
        <v>209392.8</v>
      </c>
    </row>
    <row r="869" spans="1:11" x14ac:dyDescent="0.35">
      <c r="A869">
        <v>758253</v>
      </c>
      <c r="B869">
        <v>2049182</v>
      </c>
      <c r="C869" t="str">
        <f>"IDEA PUBLIC SCHOOLS"</f>
        <v>IDEA PUBLIC SCHOOLS</v>
      </c>
      <c r="D869" t="s">
        <v>11</v>
      </c>
      <c r="E869" t="s">
        <v>740</v>
      </c>
      <c r="F869" t="s">
        <v>454</v>
      </c>
      <c r="G869">
        <v>78537</v>
      </c>
      <c r="H869">
        <v>2010</v>
      </c>
      <c r="I869" s="1">
        <v>19474.7</v>
      </c>
      <c r="J869" s="1">
        <v>22645</v>
      </c>
      <c r="K869" s="1">
        <v>9460</v>
      </c>
    </row>
    <row r="870" spans="1:11" x14ac:dyDescent="0.35">
      <c r="A870">
        <v>758253</v>
      </c>
      <c r="B870">
        <v>2049156</v>
      </c>
      <c r="C870" t="str">
        <f>"IDEA PUBLIC SCHOOLS"</f>
        <v>IDEA PUBLIC SCHOOLS</v>
      </c>
      <c r="D870" t="s">
        <v>11</v>
      </c>
      <c r="E870" t="s">
        <v>740</v>
      </c>
      <c r="F870" t="s">
        <v>454</v>
      </c>
      <c r="G870">
        <v>78537</v>
      </c>
      <c r="H870">
        <v>2010</v>
      </c>
      <c r="I870" s="1">
        <v>55986</v>
      </c>
      <c r="J870" s="1">
        <v>65100</v>
      </c>
      <c r="K870" s="1">
        <v>55986</v>
      </c>
    </row>
    <row r="871" spans="1:11" x14ac:dyDescent="0.35">
      <c r="A871">
        <v>718864</v>
      </c>
      <c r="B871">
        <v>1961673</v>
      </c>
      <c r="C871" t="str">
        <f>"INDUSTRIAL INDEP SCHOOL DIST"</f>
        <v>INDUSTRIAL INDEP SCHOOL DIST</v>
      </c>
      <c r="D871" t="s">
        <v>11</v>
      </c>
      <c r="E871" t="s">
        <v>741</v>
      </c>
      <c r="F871" t="s">
        <v>742</v>
      </c>
      <c r="G871">
        <v>77991</v>
      </c>
      <c r="H871">
        <v>2010</v>
      </c>
      <c r="I871" s="1">
        <v>34020</v>
      </c>
      <c r="J871" s="1">
        <v>54000</v>
      </c>
      <c r="K871" s="1">
        <v>9582</v>
      </c>
    </row>
    <row r="872" spans="1:11" x14ac:dyDescent="0.35">
      <c r="A872">
        <v>738693</v>
      </c>
      <c r="B872">
        <v>2057408</v>
      </c>
      <c r="C872" t="str">
        <f>"INFORMATION REFERRAL RESOURCE ASSISTANCE ISD"</f>
        <v>INFORMATION REFERRAL RESOURCE ASSISTANCE ISD</v>
      </c>
      <c r="D872" t="s">
        <v>11</v>
      </c>
      <c r="E872" t="s">
        <v>743</v>
      </c>
      <c r="F872" t="s">
        <v>485</v>
      </c>
      <c r="G872">
        <v>78539</v>
      </c>
      <c r="H872">
        <v>2010</v>
      </c>
      <c r="I872" s="1">
        <v>15189.93</v>
      </c>
      <c r="J872" s="1">
        <v>16877.7</v>
      </c>
    </row>
    <row r="873" spans="1:11" x14ac:dyDescent="0.35">
      <c r="A873">
        <v>768528</v>
      </c>
      <c r="B873">
        <v>2078523</v>
      </c>
      <c r="C873" t="str">
        <f>"INGLESIDE ISD"</f>
        <v>INGLESIDE ISD</v>
      </c>
      <c r="D873" t="s">
        <v>11</v>
      </c>
      <c r="E873" t="s">
        <v>744</v>
      </c>
      <c r="F873" t="s">
        <v>745</v>
      </c>
      <c r="G873">
        <v>78362</v>
      </c>
      <c r="H873">
        <v>2010</v>
      </c>
      <c r="I873" s="1">
        <v>2558.16</v>
      </c>
      <c r="J873" s="1">
        <v>3876</v>
      </c>
    </row>
    <row r="874" spans="1:11" x14ac:dyDescent="0.35">
      <c r="A874">
        <v>768528</v>
      </c>
      <c r="B874">
        <v>2078531</v>
      </c>
      <c r="C874" t="str">
        <f>"INGLESIDE ISD"</f>
        <v>INGLESIDE ISD</v>
      </c>
      <c r="D874" t="s">
        <v>11</v>
      </c>
      <c r="E874" t="s">
        <v>744</v>
      </c>
      <c r="F874" t="s">
        <v>745</v>
      </c>
      <c r="G874">
        <v>78362</v>
      </c>
      <c r="H874">
        <v>2010</v>
      </c>
      <c r="I874" s="1">
        <v>2558.16</v>
      </c>
      <c r="J874" s="1">
        <v>3876</v>
      </c>
    </row>
    <row r="875" spans="1:11" x14ac:dyDescent="0.35">
      <c r="A875">
        <v>768528</v>
      </c>
      <c r="B875">
        <v>2078557</v>
      </c>
      <c r="C875" t="str">
        <f>"INGLESIDE ISD"</f>
        <v>INGLESIDE ISD</v>
      </c>
      <c r="D875" t="s">
        <v>11</v>
      </c>
      <c r="E875" t="s">
        <v>744</v>
      </c>
      <c r="F875" t="s">
        <v>745</v>
      </c>
      <c r="G875">
        <v>78362</v>
      </c>
      <c r="H875">
        <v>2010</v>
      </c>
      <c r="I875" s="1">
        <v>2568.46</v>
      </c>
      <c r="J875" s="1">
        <v>3891.6</v>
      </c>
    </row>
    <row r="876" spans="1:11" x14ac:dyDescent="0.35">
      <c r="A876">
        <v>768528</v>
      </c>
      <c r="B876">
        <v>2078564</v>
      </c>
      <c r="C876" t="str">
        <f>"INGLESIDE ISD"</f>
        <v>INGLESIDE ISD</v>
      </c>
      <c r="D876" t="s">
        <v>11</v>
      </c>
      <c r="E876" t="s">
        <v>744</v>
      </c>
      <c r="F876" t="s">
        <v>745</v>
      </c>
      <c r="G876">
        <v>78362</v>
      </c>
      <c r="H876">
        <v>2010</v>
      </c>
      <c r="I876" s="1">
        <v>0</v>
      </c>
      <c r="J876" s="1">
        <v>0</v>
      </c>
    </row>
    <row r="877" spans="1:11" x14ac:dyDescent="0.35">
      <c r="A877">
        <v>768528</v>
      </c>
      <c r="B877">
        <v>2078545</v>
      </c>
      <c r="C877" t="str">
        <f>"INGLESIDE ISD"</f>
        <v>INGLESIDE ISD</v>
      </c>
      <c r="D877" t="s">
        <v>11</v>
      </c>
      <c r="E877" t="s">
        <v>744</v>
      </c>
      <c r="F877" t="s">
        <v>745</v>
      </c>
      <c r="G877">
        <v>78362</v>
      </c>
      <c r="H877">
        <v>2010</v>
      </c>
      <c r="I877" s="1">
        <v>5940</v>
      </c>
      <c r="J877" s="1">
        <v>9000</v>
      </c>
    </row>
    <row r="878" spans="1:11" x14ac:dyDescent="0.35">
      <c r="A878">
        <v>739353</v>
      </c>
      <c r="B878">
        <v>2016543</v>
      </c>
      <c r="C878" t="str">
        <f>"INGRAM INDEP SCHOOL DISTRICT"</f>
        <v>INGRAM INDEP SCHOOL DISTRICT</v>
      </c>
      <c r="D878" t="s">
        <v>11</v>
      </c>
      <c r="E878" t="s">
        <v>746</v>
      </c>
      <c r="F878" t="s">
        <v>747</v>
      </c>
      <c r="G878">
        <v>78025</v>
      </c>
      <c r="H878">
        <v>2010</v>
      </c>
      <c r="I878" s="1">
        <v>5493.6</v>
      </c>
      <c r="J878" s="1">
        <v>6540</v>
      </c>
      <c r="K878" s="1">
        <v>5493.6</v>
      </c>
    </row>
    <row r="879" spans="1:11" x14ac:dyDescent="0.35">
      <c r="A879">
        <v>739353</v>
      </c>
      <c r="B879">
        <v>2016460</v>
      </c>
      <c r="C879" t="str">
        <f>"INGRAM INDEP SCHOOL DISTRICT"</f>
        <v>INGRAM INDEP SCHOOL DISTRICT</v>
      </c>
      <c r="D879" t="s">
        <v>11</v>
      </c>
      <c r="E879" t="s">
        <v>746</v>
      </c>
      <c r="F879" t="s">
        <v>747</v>
      </c>
      <c r="G879">
        <v>78025</v>
      </c>
      <c r="H879">
        <v>2010</v>
      </c>
      <c r="I879" s="1">
        <v>1155</v>
      </c>
      <c r="J879" s="1">
        <v>1375</v>
      </c>
      <c r="K879" s="1">
        <v>1155</v>
      </c>
    </row>
    <row r="880" spans="1:11" x14ac:dyDescent="0.35">
      <c r="A880">
        <v>767717</v>
      </c>
      <c r="B880">
        <v>2075833</v>
      </c>
      <c r="C880" t="str">
        <f>"INSPIRED VISION ACADEMY 1"</f>
        <v>INSPIRED VISION ACADEMY 1</v>
      </c>
      <c r="D880" t="s">
        <v>11</v>
      </c>
      <c r="E880" t="s">
        <v>748</v>
      </c>
      <c r="F880" t="s">
        <v>13</v>
      </c>
      <c r="G880">
        <v>75217</v>
      </c>
      <c r="H880">
        <v>2010</v>
      </c>
      <c r="I880" s="1">
        <v>0</v>
      </c>
      <c r="J880" s="1">
        <v>0</v>
      </c>
    </row>
    <row r="881" spans="1:11" x14ac:dyDescent="0.35">
      <c r="A881">
        <v>767717</v>
      </c>
      <c r="B881">
        <v>2075865</v>
      </c>
      <c r="C881" t="str">
        <f>"INSPIRED VISION ACADEMY 1"</f>
        <v>INSPIRED VISION ACADEMY 1</v>
      </c>
      <c r="D881" t="s">
        <v>11</v>
      </c>
      <c r="E881" t="s">
        <v>748</v>
      </c>
      <c r="F881" t="s">
        <v>13</v>
      </c>
      <c r="G881">
        <v>75217</v>
      </c>
      <c r="H881">
        <v>2010</v>
      </c>
      <c r="I881" s="1">
        <v>14741.55</v>
      </c>
      <c r="J881" s="1">
        <v>16379.5</v>
      </c>
      <c r="K881" s="1">
        <v>14741.55</v>
      </c>
    </row>
    <row r="882" spans="1:11" x14ac:dyDescent="0.35">
      <c r="A882">
        <v>767717</v>
      </c>
      <c r="B882">
        <v>2075845</v>
      </c>
      <c r="C882" t="str">
        <f>"INSPIRED VISION ACADEMY 1"</f>
        <v>INSPIRED VISION ACADEMY 1</v>
      </c>
      <c r="D882" t="s">
        <v>11</v>
      </c>
      <c r="E882" t="s">
        <v>748</v>
      </c>
      <c r="F882" t="s">
        <v>13</v>
      </c>
      <c r="G882">
        <v>75217</v>
      </c>
      <c r="H882">
        <v>2010</v>
      </c>
      <c r="I882" s="1">
        <v>16730.39</v>
      </c>
      <c r="J882" s="1">
        <v>18589.32</v>
      </c>
      <c r="K882" s="1">
        <v>16730.39</v>
      </c>
    </row>
    <row r="883" spans="1:11" x14ac:dyDescent="0.35">
      <c r="A883">
        <v>767717</v>
      </c>
      <c r="B883">
        <v>2075820</v>
      </c>
      <c r="C883" t="str">
        <f>"INSPIRED VISION ACADEMY 1"</f>
        <v>INSPIRED VISION ACADEMY 1</v>
      </c>
      <c r="D883" t="s">
        <v>11</v>
      </c>
      <c r="E883" t="s">
        <v>748</v>
      </c>
      <c r="F883" t="s">
        <v>13</v>
      </c>
      <c r="G883">
        <v>75217</v>
      </c>
      <c r="H883">
        <v>2010</v>
      </c>
      <c r="I883" s="1">
        <v>13836.31</v>
      </c>
      <c r="J883" s="1">
        <v>15373.68</v>
      </c>
      <c r="K883" s="1">
        <v>6986.13</v>
      </c>
    </row>
    <row r="884" spans="1:11" x14ac:dyDescent="0.35">
      <c r="A884">
        <v>766956</v>
      </c>
      <c r="B884">
        <v>2073545</v>
      </c>
      <c r="C884" t="str">
        <f>"IOLA INDEP SCHOOL DISTRICT"</f>
        <v>IOLA INDEP SCHOOL DISTRICT</v>
      </c>
      <c r="D884" t="s">
        <v>11</v>
      </c>
      <c r="E884" t="s">
        <v>749</v>
      </c>
      <c r="F884" t="s">
        <v>750</v>
      </c>
      <c r="G884">
        <v>77861</v>
      </c>
      <c r="H884">
        <v>2010</v>
      </c>
      <c r="I884" s="1">
        <v>11812.5</v>
      </c>
      <c r="J884" s="1">
        <v>15750</v>
      </c>
      <c r="K884" s="1">
        <v>11812.5</v>
      </c>
    </row>
    <row r="885" spans="1:11" x14ac:dyDescent="0.35">
      <c r="A885">
        <v>748160</v>
      </c>
      <c r="B885">
        <v>2037592</v>
      </c>
      <c r="C885" t="str">
        <f>"IOWA PARK CONS INDEP SCH DIST"</f>
        <v>IOWA PARK CONS INDEP SCH DIST</v>
      </c>
      <c r="D885" t="s">
        <v>11</v>
      </c>
      <c r="E885" t="s">
        <v>751</v>
      </c>
      <c r="F885" t="s">
        <v>752</v>
      </c>
      <c r="G885">
        <v>76367</v>
      </c>
      <c r="H885">
        <v>2010</v>
      </c>
      <c r="I885" s="1">
        <v>6608.95</v>
      </c>
      <c r="J885" s="1">
        <v>10659.6</v>
      </c>
      <c r="K885" s="1">
        <v>6608.95</v>
      </c>
    </row>
    <row r="886" spans="1:11" x14ac:dyDescent="0.35">
      <c r="A886">
        <v>748160</v>
      </c>
      <c r="B886">
        <v>2037660</v>
      </c>
      <c r="C886" t="str">
        <f>"IOWA PARK CONS INDEP SCH DIST"</f>
        <v>IOWA PARK CONS INDEP SCH DIST</v>
      </c>
      <c r="D886" t="s">
        <v>11</v>
      </c>
      <c r="E886" t="s">
        <v>751</v>
      </c>
      <c r="F886" t="s">
        <v>752</v>
      </c>
      <c r="G886">
        <v>76367</v>
      </c>
      <c r="H886">
        <v>2010</v>
      </c>
      <c r="I886" s="1">
        <v>4426.8</v>
      </c>
      <c r="J886" s="1">
        <v>7140</v>
      </c>
      <c r="K886" s="1">
        <v>4426.8</v>
      </c>
    </row>
    <row r="887" spans="1:11" x14ac:dyDescent="0.35">
      <c r="A887">
        <v>766274</v>
      </c>
      <c r="B887">
        <v>2071488</v>
      </c>
      <c r="C887" t="str">
        <f>"IREDELL INDEP SCHOOL DISTRICT"</f>
        <v>IREDELL INDEP SCHOOL DISTRICT</v>
      </c>
      <c r="D887" t="s">
        <v>11</v>
      </c>
      <c r="E887" t="s">
        <v>753</v>
      </c>
      <c r="F887" t="s">
        <v>754</v>
      </c>
      <c r="G887">
        <v>76649</v>
      </c>
      <c r="H887">
        <v>2010</v>
      </c>
      <c r="I887" s="1">
        <v>11184</v>
      </c>
      <c r="J887" s="1">
        <v>13980</v>
      </c>
      <c r="K887" s="1">
        <v>11184</v>
      </c>
    </row>
    <row r="888" spans="1:11" x14ac:dyDescent="0.35">
      <c r="A888">
        <v>767177</v>
      </c>
      <c r="B888">
        <v>2074799</v>
      </c>
      <c r="C888" t="str">
        <f>"IRION COUNTY INDEP SCHOOL DIST"</f>
        <v>IRION COUNTY INDEP SCHOOL DIST</v>
      </c>
      <c r="D888" t="s">
        <v>11</v>
      </c>
      <c r="E888" t="s">
        <v>755</v>
      </c>
      <c r="F888" t="s">
        <v>756</v>
      </c>
      <c r="G888">
        <v>76941</v>
      </c>
      <c r="H888">
        <v>2010</v>
      </c>
      <c r="I888" s="1">
        <v>1012.32</v>
      </c>
      <c r="J888" s="1">
        <v>1332</v>
      </c>
    </row>
    <row r="889" spans="1:11" x14ac:dyDescent="0.35">
      <c r="A889">
        <v>739839</v>
      </c>
      <c r="B889">
        <v>1998152</v>
      </c>
      <c r="C889" t="str">
        <f>"ITASCA INDEP SCHOOL DISTRICT"</f>
        <v>ITASCA INDEP SCHOOL DISTRICT</v>
      </c>
      <c r="D889" t="s">
        <v>11</v>
      </c>
      <c r="E889" t="s">
        <v>757</v>
      </c>
      <c r="F889" t="s">
        <v>758</v>
      </c>
      <c r="G889">
        <v>76055</v>
      </c>
      <c r="H889">
        <v>2010</v>
      </c>
      <c r="I889" s="1">
        <v>14505.6</v>
      </c>
      <c r="J889" s="1">
        <v>18132</v>
      </c>
      <c r="K889" s="1">
        <v>14505.6</v>
      </c>
    </row>
    <row r="890" spans="1:11" x14ac:dyDescent="0.35">
      <c r="A890">
        <v>739839</v>
      </c>
      <c r="B890">
        <v>1998110</v>
      </c>
      <c r="C890" t="str">
        <f>"ITASCA INDEP SCHOOL DISTRICT"</f>
        <v>ITASCA INDEP SCHOOL DISTRICT</v>
      </c>
      <c r="D890" t="s">
        <v>11</v>
      </c>
      <c r="E890" t="s">
        <v>757</v>
      </c>
      <c r="F890" t="s">
        <v>758</v>
      </c>
      <c r="G890">
        <v>76055</v>
      </c>
      <c r="H890">
        <v>2010</v>
      </c>
      <c r="I890" s="1">
        <v>14976</v>
      </c>
      <c r="J890" s="1">
        <v>18720</v>
      </c>
      <c r="K890" s="1">
        <v>14400</v>
      </c>
    </row>
    <row r="891" spans="1:11" x14ac:dyDescent="0.35">
      <c r="A891">
        <v>739839</v>
      </c>
      <c r="B891">
        <v>2028765</v>
      </c>
      <c r="C891" t="str">
        <f>"ITASCA INDEP SCHOOL DISTRICT"</f>
        <v>ITASCA INDEP SCHOOL DISTRICT</v>
      </c>
      <c r="D891" t="s">
        <v>11</v>
      </c>
      <c r="E891" t="s">
        <v>757</v>
      </c>
      <c r="F891" t="s">
        <v>758</v>
      </c>
      <c r="G891">
        <v>76055</v>
      </c>
      <c r="H891">
        <v>2010</v>
      </c>
      <c r="I891" s="1">
        <v>2808</v>
      </c>
      <c r="J891" s="1">
        <v>3510</v>
      </c>
      <c r="K891" s="1">
        <v>2808</v>
      </c>
    </row>
    <row r="892" spans="1:11" x14ac:dyDescent="0.35">
      <c r="A892">
        <v>728150</v>
      </c>
      <c r="B892">
        <v>1972558</v>
      </c>
      <c r="C892" t="str">
        <f>"JACKSBORO INDEP SCHOOL DIST"</f>
        <v>JACKSBORO INDEP SCHOOL DIST</v>
      </c>
      <c r="D892" t="s">
        <v>11</v>
      </c>
      <c r="E892" t="s">
        <v>759</v>
      </c>
      <c r="F892" t="s">
        <v>760</v>
      </c>
      <c r="G892">
        <v>76458</v>
      </c>
      <c r="H892">
        <v>2010</v>
      </c>
      <c r="I892" s="1">
        <v>17266.5</v>
      </c>
      <c r="J892" s="1">
        <v>23022</v>
      </c>
      <c r="K892" s="1">
        <v>17266.5</v>
      </c>
    </row>
    <row r="893" spans="1:11" x14ac:dyDescent="0.35">
      <c r="A893">
        <v>728150</v>
      </c>
      <c r="B893">
        <v>1972592</v>
      </c>
      <c r="C893" t="str">
        <f>"JACKSBORO INDEP SCHOOL DIST"</f>
        <v>JACKSBORO INDEP SCHOOL DIST</v>
      </c>
      <c r="D893" t="s">
        <v>11</v>
      </c>
      <c r="E893" t="s">
        <v>759</v>
      </c>
      <c r="F893" t="s">
        <v>760</v>
      </c>
      <c r="G893">
        <v>76458</v>
      </c>
      <c r="H893">
        <v>2010</v>
      </c>
      <c r="I893" s="1">
        <v>1966.43</v>
      </c>
      <c r="J893" s="1">
        <v>2621.91</v>
      </c>
      <c r="K893" s="1">
        <v>1966.43</v>
      </c>
    </row>
    <row r="894" spans="1:11" x14ac:dyDescent="0.35">
      <c r="A894">
        <v>728150</v>
      </c>
      <c r="B894">
        <v>1972548</v>
      </c>
      <c r="C894" t="str">
        <f>"JACKSBORO INDEP SCHOOL DIST"</f>
        <v>JACKSBORO INDEP SCHOOL DIST</v>
      </c>
      <c r="D894" t="s">
        <v>11</v>
      </c>
      <c r="E894" t="s">
        <v>759</v>
      </c>
      <c r="F894" t="s">
        <v>760</v>
      </c>
      <c r="G894">
        <v>76458</v>
      </c>
      <c r="H894">
        <v>2010</v>
      </c>
      <c r="I894" s="1">
        <v>7994.7</v>
      </c>
      <c r="J894" s="1">
        <v>10659.6</v>
      </c>
      <c r="K894" s="1">
        <v>7994.7</v>
      </c>
    </row>
    <row r="895" spans="1:11" x14ac:dyDescent="0.35">
      <c r="A895">
        <v>739399</v>
      </c>
      <c r="B895">
        <v>2020558</v>
      </c>
      <c r="C895" t="str">
        <f>"JACKSONVILLE INDEP SCHOOL DIST"</f>
        <v>JACKSONVILLE INDEP SCHOOL DIST</v>
      </c>
      <c r="D895" t="s">
        <v>11</v>
      </c>
      <c r="E895" t="s">
        <v>761</v>
      </c>
      <c r="F895" t="s">
        <v>762</v>
      </c>
      <c r="G895">
        <v>75766</v>
      </c>
      <c r="H895">
        <v>2010</v>
      </c>
      <c r="I895" s="1">
        <v>0</v>
      </c>
      <c r="J895" s="1">
        <v>0</v>
      </c>
    </row>
    <row r="896" spans="1:11" x14ac:dyDescent="0.35">
      <c r="A896">
        <v>764413</v>
      </c>
      <c r="B896">
        <v>2065461</v>
      </c>
      <c r="C896" t="str">
        <f>"JACKSONVILLE INDEP SCHOOL DIST"</f>
        <v>JACKSONVILLE INDEP SCHOOL DIST</v>
      </c>
      <c r="D896" t="s">
        <v>11</v>
      </c>
      <c r="E896" t="s">
        <v>761</v>
      </c>
      <c r="F896" t="s">
        <v>762</v>
      </c>
      <c r="G896">
        <v>75766</v>
      </c>
      <c r="H896">
        <v>2010</v>
      </c>
      <c r="I896" s="1">
        <v>8492.48</v>
      </c>
      <c r="J896" s="1">
        <v>9650.5499999999993</v>
      </c>
      <c r="K896" s="1">
        <v>8492.48</v>
      </c>
    </row>
    <row r="897" spans="1:11" x14ac:dyDescent="0.35">
      <c r="A897">
        <v>760079</v>
      </c>
      <c r="B897">
        <v>2054158</v>
      </c>
      <c r="C897" t="str">
        <f>"JARRELL INDEP SCHOOL DISTRICT"</f>
        <v>JARRELL INDEP SCHOOL DISTRICT</v>
      </c>
      <c r="D897" t="s">
        <v>11</v>
      </c>
      <c r="E897" t="s">
        <v>763</v>
      </c>
      <c r="F897" t="s">
        <v>764</v>
      </c>
      <c r="G897">
        <v>76537</v>
      </c>
      <c r="H897">
        <v>2010</v>
      </c>
      <c r="I897" s="1">
        <v>4118.3999999999996</v>
      </c>
      <c r="J897" s="1">
        <v>5148</v>
      </c>
      <c r="K897" s="1">
        <v>4118.3999999999996</v>
      </c>
    </row>
    <row r="898" spans="1:11" x14ac:dyDescent="0.35">
      <c r="A898">
        <v>760079</v>
      </c>
      <c r="B898">
        <v>2054115</v>
      </c>
      <c r="C898" t="str">
        <f>"JARRELL INDEP SCHOOL DISTRICT"</f>
        <v>JARRELL INDEP SCHOOL DISTRICT</v>
      </c>
      <c r="D898" t="s">
        <v>11</v>
      </c>
      <c r="E898" t="s">
        <v>763</v>
      </c>
      <c r="F898" t="s">
        <v>764</v>
      </c>
      <c r="G898">
        <v>76537</v>
      </c>
      <c r="H898">
        <v>2010</v>
      </c>
      <c r="I898" s="1">
        <v>25920</v>
      </c>
      <c r="J898" s="1">
        <v>32400</v>
      </c>
      <c r="K898" s="1">
        <v>25920</v>
      </c>
    </row>
    <row r="899" spans="1:11" x14ac:dyDescent="0.35">
      <c r="A899">
        <v>760079</v>
      </c>
      <c r="B899">
        <v>2054106</v>
      </c>
      <c r="C899" t="str">
        <f>"JARRELL INDEP SCHOOL DISTRICT"</f>
        <v>JARRELL INDEP SCHOOL DISTRICT</v>
      </c>
      <c r="D899" t="s">
        <v>11</v>
      </c>
      <c r="E899" t="s">
        <v>763</v>
      </c>
      <c r="F899" t="s">
        <v>764</v>
      </c>
      <c r="G899">
        <v>76537</v>
      </c>
      <c r="H899">
        <v>2010</v>
      </c>
      <c r="I899" s="1">
        <v>6037.1</v>
      </c>
      <c r="J899" s="1">
        <v>15600</v>
      </c>
      <c r="K899" s="1">
        <v>6037.1</v>
      </c>
    </row>
    <row r="900" spans="1:11" x14ac:dyDescent="0.35">
      <c r="A900">
        <v>737744</v>
      </c>
      <c r="B900">
        <v>1992828</v>
      </c>
      <c r="C900" t="str">
        <f t="shared" ref="C900:C905" si="11">"JASPER I.S.D."</f>
        <v>JASPER I.S.D.</v>
      </c>
      <c r="D900" t="s">
        <v>11</v>
      </c>
      <c r="E900" t="s">
        <v>765</v>
      </c>
      <c r="F900" t="s">
        <v>766</v>
      </c>
      <c r="G900">
        <v>75951</v>
      </c>
      <c r="H900">
        <v>2010</v>
      </c>
      <c r="I900" s="1">
        <v>14506.23</v>
      </c>
      <c r="J900" s="1">
        <v>17269.32</v>
      </c>
      <c r="K900" s="1">
        <v>14506.23</v>
      </c>
    </row>
    <row r="901" spans="1:11" x14ac:dyDescent="0.35">
      <c r="A901">
        <v>739469</v>
      </c>
      <c r="B901">
        <v>1997222</v>
      </c>
      <c r="C901" t="str">
        <f t="shared" si="11"/>
        <v>JASPER I.S.D.</v>
      </c>
      <c r="D901" t="s">
        <v>11</v>
      </c>
      <c r="E901" t="s">
        <v>765</v>
      </c>
      <c r="F901" t="s">
        <v>766</v>
      </c>
      <c r="G901">
        <v>75951</v>
      </c>
      <c r="H901">
        <v>2010</v>
      </c>
      <c r="I901" s="1">
        <v>5322.24</v>
      </c>
      <c r="J901" s="1">
        <v>6336</v>
      </c>
      <c r="K901" s="1">
        <v>5322.24</v>
      </c>
    </row>
    <row r="902" spans="1:11" x14ac:dyDescent="0.35">
      <c r="A902">
        <v>737825</v>
      </c>
      <c r="B902">
        <v>1992968</v>
      </c>
      <c r="C902" t="str">
        <f t="shared" si="11"/>
        <v>JASPER I.S.D.</v>
      </c>
      <c r="D902" t="s">
        <v>11</v>
      </c>
      <c r="E902" t="s">
        <v>765</v>
      </c>
      <c r="F902" t="s">
        <v>766</v>
      </c>
      <c r="G902">
        <v>75951</v>
      </c>
      <c r="H902">
        <v>2010</v>
      </c>
      <c r="I902" s="1">
        <v>68532.210000000006</v>
      </c>
      <c r="J902" s="1">
        <v>81585.960000000006</v>
      </c>
      <c r="K902" s="1">
        <v>68532.210000000006</v>
      </c>
    </row>
    <row r="903" spans="1:11" x14ac:dyDescent="0.35">
      <c r="A903">
        <v>725024</v>
      </c>
      <c r="B903">
        <v>1989263</v>
      </c>
      <c r="C903" t="str">
        <f t="shared" si="11"/>
        <v>JASPER I.S.D.</v>
      </c>
      <c r="D903" t="s">
        <v>11</v>
      </c>
      <c r="E903" t="s">
        <v>765</v>
      </c>
      <c r="F903" t="s">
        <v>766</v>
      </c>
      <c r="G903">
        <v>75951</v>
      </c>
      <c r="H903">
        <v>2010</v>
      </c>
      <c r="I903" s="1">
        <v>8341.2000000000007</v>
      </c>
      <c r="J903" s="1">
        <v>9930</v>
      </c>
      <c r="K903" s="1">
        <v>8341.2000000000007</v>
      </c>
    </row>
    <row r="904" spans="1:11" x14ac:dyDescent="0.35">
      <c r="A904">
        <v>738098</v>
      </c>
      <c r="B904">
        <v>1993487</v>
      </c>
      <c r="C904" t="str">
        <f t="shared" si="11"/>
        <v>JASPER I.S.D.</v>
      </c>
      <c r="D904" t="s">
        <v>11</v>
      </c>
      <c r="E904" t="s">
        <v>765</v>
      </c>
      <c r="F904" t="s">
        <v>766</v>
      </c>
      <c r="G904">
        <v>75951</v>
      </c>
      <c r="H904">
        <v>2010</v>
      </c>
      <c r="I904" s="1">
        <v>503.8</v>
      </c>
      <c r="J904" s="1">
        <v>599.76</v>
      </c>
    </row>
    <row r="905" spans="1:11" x14ac:dyDescent="0.35">
      <c r="A905">
        <v>738106</v>
      </c>
      <c r="B905">
        <v>1993513</v>
      </c>
      <c r="C905" t="str">
        <f t="shared" si="11"/>
        <v>JASPER I.S.D.</v>
      </c>
      <c r="D905" t="s">
        <v>11</v>
      </c>
      <c r="E905" t="s">
        <v>765</v>
      </c>
      <c r="F905" t="s">
        <v>766</v>
      </c>
      <c r="G905">
        <v>75951</v>
      </c>
      <c r="H905">
        <v>2010</v>
      </c>
      <c r="I905" s="1">
        <v>21388.75</v>
      </c>
      <c r="J905" s="1">
        <v>25462.799999999999</v>
      </c>
      <c r="K905" s="1">
        <v>524.75</v>
      </c>
    </row>
    <row r="906" spans="1:11" x14ac:dyDescent="0.35">
      <c r="A906">
        <v>736727</v>
      </c>
      <c r="B906">
        <v>1990857</v>
      </c>
      <c r="C906" t="str">
        <f>"JEFFERSON INDEP SCHOOL DIST"</f>
        <v>JEFFERSON INDEP SCHOOL DIST</v>
      </c>
      <c r="D906" t="s">
        <v>11</v>
      </c>
      <c r="E906" t="s">
        <v>767</v>
      </c>
      <c r="F906" t="s">
        <v>768</v>
      </c>
      <c r="G906">
        <v>75657</v>
      </c>
      <c r="H906">
        <v>2010</v>
      </c>
      <c r="I906" s="1">
        <v>4253.8900000000003</v>
      </c>
      <c r="J906" s="1">
        <v>9650.5499999999993</v>
      </c>
      <c r="K906" s="1">
        <v>4253.8900000000003</v>
      </c>
    </row>
    <row r="907" spans="1:11" x14ac:dyDescent="0.35">
      <c r="A907">
        <v>731653</v>
      </c>
      <c r="B907">
        <v>1979459</v>
      </c>
      <c r="C907" t="str">
        <f>"JIM HOGG CO INDEP SCH DISTRICT"</f>
        <v>JIM HOGG CO INDEP SCH DISTRICT</v>
      </c>
      <c r="D907" t="s">
        <v>11</v>
      </c>
      <c r="E907" t="s">
        <v>769</v>
      </c>
      <c r="F907" t="s">
        <v>770</v>
      </c>
      <c r="G907">
        <v>78361</v>
      </c>
      <c r="H907">
        <v>2010</v>
      </c>
      <c r="I907" s="1">
        <v>24288</v>
      </c>
      <c r="J907" s="1">
        <v>27600</v>
      </c>
      <c r="K907" s="1">
        <v>21373.439999999999</v>
      </c>
    </row>
    <row r="908" spans="1:11" x14ac:dyDescent="0.35">
      <c r="A908">
        <v>731653</v>
      </c>
      <c r="B908">
        <v>1979181</v>
      </c>
      <c r="C908" t="str">
        <f>"JIM HOGG CO INDEP SCH DISTRICT"</f>
        <v>JIM HOGG CO INDEP SCH DISTRICT</v>
      </c>
      <c r="D908" t="s">
        <v>11</v>
      </c>
      <c r="E908" t="s">
        <v>769</v>
      </c>
      <c r="F908" t="s">
        <v>770</v>
      </c>
      <c r="G908">
        <v>78361</v>
      </c>
      <c r="H908">
        <v>2010</v>
      </c>
      <c r="I908" s="1">
        <v>11172.48</v>
      </c>
      <c r="J908" s="1">
        <v>12696</v>
      </c>
      <c r="K908" s="1">
        <v>11172.48</v>
      </c>
    </row>
    <row r="909" spans="1:11" x14ac:dyDescent="0.35">
      <c r="A909">
        <v>731653</v>
      </c>
      <c r="B909">
        <v>1979114</v>
      </c>
      <c r="C909" t="str">
        <f>"JIM HOGG CO INDEP SCH DISTRICT"</f>
        <v>JIM HOGG CO INDEP SCH DISTRICT</v>
      </c>
      <c r="D909" t="s">
        <v>11</v>
      </c>
      <c r="E909" t="s">
        <v>769</v>
      </c>
      <c r="F909" t="s">
        <v>770</v>
      </c>
      <c r="G909">
        <v>78361</v>
      </c>
      <c r="H909">
        <v>2010</v>
      </c>
      <c r="I909" s="1">
        <v>16645.2</v>
      </c>
      <c r="J909" s="1">
        <v>18915</v>
      </c>
      <c r="K909" s="1">
        <v>15646.49</v>
      </c>
    </row>
    <row r="910" spans="1:11" x14ac:dyDescent="0.35">
      <c r="A910">
        <v>730019</v>
      </c>
      <c r="B910">
        <v>1975323</v>
      </c>
      <c r="C910" t="str">
        <f>"JOAQUIN INDEP SCHOOL DISTRICT"</f>
        <v>JOAQUIN INDEP SCHOOL DISTRICT</v>
      </c>
      <c r="D910" t="s">
        <v>11</v>
      </c>
      <c r="E910" t="s">
        <v>771</v>
      </c>
      <c r="F910" t="s">
        <v>772</v>
      </c>
      <c r="G910">
        <v>75954</v>
      </c>
      <c r="H910">
        <v>2010</v>
      </c>
      <c r="I910" s="1">
        <v>11420.64</v>
      </c>
      <c r="J910" s="1">
        <v>14832</v>
      </c>
      <c r="K910" s="1">
        <v>2882.88</v>
      </c>
    </row>
    <row r="911" spans="1:11" x14ac:dyDescent="0.35">
      <c r="A911">
        <v>748111</v>
      </c>
      <c r="B911">
        <v>2019747</v>
      </c>
      <c r="C911" t="str">
        <f>"JOHN H. WOOD JR CHARTER SCHOOL"</f>
        <v>JOHN H. WOOD JR CHARTER SCHOOL</v>
      </c>
      <c r="D911" t="s">
        <v>11</v>
      </c>
      <c r="E911" t="s">
        <v>773</v>
      </c>
      <c r="F911" t="s">
        <v>25</v>
      </c>
      <c r="G911">
        <v>78230</v>
      </c>
      <c r="H911">
        <v>2010</v>
      </c>
      <c r="I911" s="1">
        <v>17010</v>
      </c>
      <c r="J911" s="1">
        <v>18900</v>
      </c>
      <c r="K911" s="1">
        <v>17010</v>
      </c>
    </row>
    <row r="912" spans="1:11" x14ac:dyDescent="0.35">
      <c r="A912">
        <v>750500</v>
      </c>
      <c r="B912">
        <v>2030552</v>
      </c>
      <c r="C912" t="str">
        <f>"JOHNSON CITY SCHOOL DISTRICT"</f>
        <v>JOHNSON CITY SCHOOL DISTRICT</v>
      </c>
      <c r="D912" t="s">
        <v>11</v>
      </c>
      <c r="E912" t="s">
        <v>774</v>
      </c>
      <c r="F912" t="s">
        <v>775</v>
      </c>
      <c r="G912">
        <v>78636</v>
      </c>
      <c r="H912">
        <v>2010</v>
      </c>
      <c r="I912" s="1">
        <v>18492</v>
      </c>
      <c r="J912" s="1">
        <v>27600</v>
      </c>
      <c r="K912" s="1">
        <v>18492</v>
      </c>
    </row>
    <row r="913" spans="1:11" x14ac:dyDescent="0.35">
      <c r="A913">
        <v>750500</v>
      </c>
      <c r="B913">
        <v>2030787</v>
      </c>
      <c r="C913" t="str">
        <f>"JOHNSON CITY SCHOOL DISTRICT"</f>
        <v>JOHNSON CITY SCHOOL DISTRICT</v>
      </c>
      <c r="D913" t="s">
        <v>11</v>
      </c>
      <c r="E913" t="s">
        <v>774</v>
      </c>
      <c r="F913" t="s">
        <v>775</v>
      </c>
      <c r="G913">
        <v>78636</v>
      </c>
      <c r="H913">
        <v>2010</v>
      </c>
      <c r="I913" s="1">
        <v>2624.74</v>
      </c>
      <c r="J913" s="1">
        <v>3917.52</v>
      </c>
      <c r="K913" s="1">
        <v>2624.74</v>
      </c>
    </row>
    <row r="914" spans="1:11" x14ac:dyDescent="0.35">
      <c r="A914">
        <v>754523</v>
      </c>
      <c r="B914">
        <v>2039657</v>
      </c>
      <c r="C914" t="str">
        <f>"JONESBORO INDEP SCHOOL DIST"</f>
        <v>JONESBORO INDEP SCHOOL DIST</v>
      </c>
      <c r="D914" t="s">
        <v>11</v>
      </c>
      <c r="E914" t="s">
        <v>776</v>
      </c>
      <c r="F914" t="s">
        <v>777</v>
      </c>
      <c r="G914">
        <v>76538</v>
      </c>
      <c r="H914">
        <v>2010</v>
      </c>
      <c r="I914" s="1">
        <v>8388</v>
      </c>
      <c r="J914" s="1">
        <v>13980</v>
      </c>
      <c r="K914" s="1">
        <v>8388</v>
      </c>
    </row>
    <row r="915" spans="1:11" x14ac:dyDescent="0.35">
      <c r="A915">
        <v>734151</v>
      </c>
      <c r="B915">
        <v>1984843</v>
      </c>
      <c r="C915" t="str">
        <f>"JOSHUA INDEP SCHOOL DISTRICT"</f>
        <v>JOSHUA INDEP SCHOOL DISTRICT</v>
      </c>
      <c r="D915" t="s">
        <v>11</v>
      </c>
      <c r="E915" t="s">
        <v>778</v>
      </c>
      <c r="F915" t="s">
        <v>779</v>
      </c>
      <c r="G915">
        <v>76058</v>
      </c>
      <c r="H915">
        <v>2010</v>
      </c>
      <c r="I915" s="1">
        <v>4422</v>
      </c>
      <c r="J915" s="1">
        <v>6600</v>
      </c>
      <c r="K915" s="1">
        <v>4422</v>
      </c>
    </row>
    <row r="916" spans="1:11" x14ac:dyDescent="0.35">
      <c r="A916">
        <v>734151</v>
      </c>
      <c r="B916">
        <v>1984853</v>
      </c>
      <c r="C916" t="str">
        <f>"JOSHUA INDEP SCHOOL DISTRICT"</f>
        <v>JOSHUA INDEP SCHOOL DISTRICT</v>
      </c>
      <c r="D916" t="s">
        <v>11</v>
      </c>
      <c r="E916" t="s">
        <v>778</v>
      </c>
      <c r="F916" t="s">
        <v>779</v>
      </c>
      <c r="G916">
        <v>76058</v>
      </c>
      <c r="H916">
        <v>2010</v>
      </c>
      <c r="I916" s="1">
        <v>8512.35</v>
      </c>
      <c r="J916" s="1">
        <v>12705</v>
      </c>
      <c r="K916" s="1">
        <v>8512.35</v>
      </c>
    </row>
    <row r="917" spans="1:11" x14ac:dyDescent="0.35">
      <c r="A917">
        <v>734151</v>
      </c>
      <c r="B917">
        <v>1984866</v>
      </c>
      <c r="C917" t="str">
        <f>"JOSHUA INDEP SCHOOL DISTRICT"</f>
        <v>JOSHUA INDEP SCHOOL DISTRICT</v>
      </c>
      <c r="D917" t="s">
        <v>11</v>
      </c>
      <c r="E917" t="s">
        <v>778</v>
      </c>
      <c r="F917" t="s">
        <v>779</v>
      </c>
      <c r="G917">
        <v>76058</v>
      </c>
      <c r="H917">
        <v>2010</v>
      </c>
      <c r="I917" s="1">
        <v>4623</v>
      </c>
      <c r="J917" s="1">
        <v>6900</v>
      </c>
      <c r="K917" s="1">
        <v>2118.9299999999998</v>
      </c>
    </row>
    <row r="918" spans="1:11" x14ac:dyDescent="0.35">
      <c r="A918">
        <v>734151</v>
      </c>
      <c r="B918">
        <v>1984832</v>
      </c>
      <c r="C918" t="str">
        <f>"JOSHUA INDEP SCHOOL DISTRICT"</f>
        <v>JOSHUA INDEP SCHOOL DISTRICT</v>
      </c>
      <c r="D918" t="s">
        <v>11</v>
      </c>
      <c r="E918" t="s">
        <v>778</v>
      </c>
      <c r="F918" t="s">
        <v>779</v>
      </c>
      <c r="G918">
        <v>76058</v>
      </c>
      <c r="H918">
        <v>2010</v>
      </c>
      <c r="I918" s="1">
        <v>4017.67</v>
      </c>
      <c r="J918" s="1">
        <v>5996.52</v>
      </c>
      <c r="K918" s="1">
        <v>4017.67</v>
      </c>
    </row>
    <row r="919" spans="1:11" x14ac:dyDescent="0.35">
      <c r="A919">
        <v>751843</v>
      </c>
      <c r="B919">
        <v>2061769</v>
      </c>
      <c r="C919" t="str">
        <f>"JOURDANTON INDEP SCHOOL DIST"</f>
        <v>JOURDANTON INDEP SCHOOL DIST</v>
      </c>
      <c r="D919" t="s">
        <v>11</v>
      </c>
      <c r="E919" t="s">
        <v>780</v>
      </c>
      <c r="F919" t="s">
        <v>781</v>
      </c>
      <c r="G919">
        <v>78026</v>
      </c>
      <c r="H919">
        <v>2010</v>
      </c>
      <c r="I919" s="1">
        <v>2653.92</v>
      </c>
      <c r="J919" s="1">
        <v>3317.4</v>
      </c>
      <c r="K919" s="1">
        <v>2653.92</v>
      </c>
    </row>
    <row r="920" spans="1:11" x14ac:dyDescent="0.35">
      <c r="A920">
        <v>751843</v>
      </c>
      <c r="B920">
        <v>2032410</v>
      </c>
      <c r="C920" t="str">
        <f>"JOURDANTON INDEP SCHOOL DIST"</f>
        <v>JOURDANTON INDEP SCHOOL DIST</v>
      </c>
      <c r="D920" t="s">
        <v>11</v>
      </c>
      <c r="E920" t="s">
        <v>780</v>
      </c>
      <c r="F920" t="s">
        <v>781</v>
      </c>
      <c r="G920">
        <v>78026</v>
      </c>
      <c r="H920">
        <v>2010</v>
      </c>
      <c r="I920" s="1">
        <v>11539.97</v>
      </c>
      <c r="J920" s="1">
        <v>14424.96</v>
      </c>
      <c r="K920" s="1">
        <v>11539.97</v>
      </c>
    </row>
    <row r="921" spans="1:11" x14ac:dyDescent="0.35">
      <c r="A921">
        <v>712510</v>
      </c>
      <c r="B921">
        <v>1962523</v>
      </c>
      <c r="C921" t="str">
        <f>"JUBILEE ACADEMIC CENTER"</f>
        <v>JUBILEE ACADEMIC CENTER</v>
      </c>
      <c r="D921" t="s">
        <v>11</v>
      </c>
      <c r="E921" t="s">
        <v>782</v>
      </c>
      <c r="F921" t="s">
        <v>25</v>
      </c>
      <c r="G921">
        <v>78222</v>
      </c>
      <c r="H921">
        <v>2010</v>
      </c>
      <c r="I921" s="1">
        <v>37800</v>
      </c>
      <c r="J921" s="1">
        <v>42000</v>
      </c>
      <c r="K921" s="1">
        <v>37800</v>
      </c>
    </row>
    <row r="922" spans="1:11" x14ac:dyDescent="0.35">
      <c r="A922">
        <v>712510</v>
      </c>
      <c r="B922">
        <v>2012788</v>
      </c>
      <c r="C922" t="str">
        <f>"JUBILEE ACADEMIC CENTER"</f>
        <v>JUBILEE ACADEMIC CENTER</v>
      </c>
      <c r="D922" t="s">
        <v>11</v>
      </c>
      <c r="E922" t="s">
        <v>782</v>
      </c>
      <c r="F922" t="s">
        <v>25</v>
      </c>
      <c r="G922">
        <v>78222</v>
      </c>
      <c r="H922">
        <v>2010</v>
      </c>
      <c r="I922" s="1">
        <v>4330.8</v>
      </c>
      <c r="J922" s="1">
        <v>4812</v>
      </c>
      <c r="K922" s="1">
        <v>4330.8</v>
      </c>
    </row>
    <row r="923" spans="1:11" x14ac:dyDescent="0.35">
      <c r="A923">
        <v>712510</v>
      </c>
      <c r="B923">
        <v>1952327</v>
      </c>
      <c r="C923" t="str">
        <f>"JUBILEE ACADEMIC CENTER"</f>
        <v>JUBILEE ACADEMIC CENTER</v>
      </c>
      <c r="D923" t="s">
        <v>11</v>
      </c>
      <c r="E923" t="s">
        <v>782</v>
      </c>
      <c r="F923" t="s">
        <v>25</v>
      </c>
      <c r="G923">
        <v>78222</v>
      </c>
      <c r="H923">
        <v>2010</v>
      </c>
      <c r="I923" s="1">
        <v>2037.64</v>
      </c>
      <c r="J923" s="1">
        <v>2264.04</v>
      </c>
      <c r="K923" s="1">
        <v>2037.64</v>
      </c>
    </row>
    <row r="924" spans="1:11" x14ac:dyDescent="0.35">
      <c r="A924">
        <v>715362</v>
      </c>
      <c r="B924">
        <v>1998885</v>
      </c>
      <c r="C924" t="str">
        <f t="shared" ref="C924:C929" si="12">"JUDSON INDEP SCHOOL DISTRICT"</f>
        <v>JUDSON INDEP SCHOOL DISTRICT</v>
      </c>
      <c r="D924" t="s">
        <v>11</v>
      </c>
      <c r="E924" t="s">
        <v>783</v>
      </c>
      <c r="F924" t="s">
        <v>25</v>
      </c>
      <c r="G924">
        <v>78233</v>
      </c>
      <c r="H924">
        <v>2010</v>
      </c>
      <c r="I924" s="1">
        <v>15048</v>
      </c>
      <c r="J924" s="1">
        <v>30040</v>
      </c>
      <c r="K924" s="1">
        <v>15048</v>
      </c>
    </row>
    <row r="925" spans="1:11" x14ac:dyDescent="0.35">
      <c r="A925">
        <v>715362</v>
      </c>
      <c r="B925">
        <v>1973519</v>
      </c>
      <c r="C925" t="str">
        <f t="shared" si="12"/>
        <v>JUDSON INDEP SCHOOL DISTRICT</v>
      </c>
      <c r="D925" t="s">
        <v>11</v>
      </c>
      <c r="E925" t="s">
        <v>783</v>
      </c>
      <c r="F925" t="s">
        <v>25</v>
      </c>
      <c r="G925">
        <v>78233</v>
      </c>
      <c r="H925">
        <v>2010</v>
      </c>
      <c r="I925" s="1">
        <v>0</v>
      </c>
      <c r="J925" s="1">
        <v>0</v>
      </c>
    </row>
    <row r="926" spans="1:11" x14ac:dyDescent="0.35">
      <c r="A926">
        <v>715362</v>
      </c>
      <c r="B926">
        <v>1973522</v>
      </c>
      <c r="C926" t="str">
        <f t="shared" si="12"/>
        <v>JUDSON INDEP SCHOOL DISTRICT</v>
      </c>
      <c r="D926" t="s">
        <v>11</v>
      </c>
      <c r="E926" t="s">
        <v>783</v>
      </c>
      <c r="F926" t="s">
        <v>25</v>
      </c>
      <c r="G926">
        <v>78233</v>
      </c>
      <c r="H926">
        <v>2010</v>
      </c>
      <c r="I926" s="1">
        <v>3420</v>
      </c>
      <c r="J926" s="1">
        <v>4500</v>
      </c>
      <c r="K926" s="1">
        <v>3420</v>
      </c>
    </row>
    <row r="927" spans="1:11" x14ac:dyDescent="0.35">
      <c r="A927">
        <v>715362</v>
      </c>
      <c r="B927">
        <v>2020331</v>
      </c>
      <c r="C927" t="str">
        <f t="shared" si="12"/>
        <v>JUDSON INDEP SCHOOL DISTRICT</v>
      </c>
      <c r="D927" t="s">
        <v>11</v>
      </c>
      <c r="E927" t="s">
        <v>783</v>
      </c>
      <c r="F927" t="s">
        <v>25</v>
      </c>
      <c r="G927">
        <v>78233</v>
      </c>
      <c r="H927">
        <v>2010</v>
      </c>
      <c r="I927" s="1">
        <v>3688.03</v>
      </c>
      <c r="J927" s="1">
        <v>12150</v>
      </c>
      <c r="K927" s="1">
        <v>3688.03</v>
      </c>
    </row>
    <row r="928" spans="1:11" x14ac:dyDescent="0.35">
      <c r="A928">
        <v>715362</v>
      </c>
      <c r="B928">
        <v>1973469</v>
      </c>
      <c r="C928" t="str">
        <f t="shared" si="12"/>
        <v>JUDSON INDEP SCHOOL DISTRICT</v>
      </c>
      <c r="D928" t="s">
        <v>11</v>
      </c>
      <c r="E928" t="s">
        <v>783</v>
      </c>
      <c r="F928" t="s">
        <v>25</v>
      </c>
      <c r="G928">
        <v>78233</v>
      </c>
      <c r="H928">
        <v>2010</v>
      </c>
      <c r="I928" s="1">
        <v>0</v>
      </c>
      <c r="J928" s="1">
        <v>56603.16</v>
      </c>
      <c r="K928" s="1">
        <v>0</v>
      </c>
    </row>
    <row r="929" spans="1:11" x14ac:dyDescent="0.35">
      <c r="A929">
        <v>715362</v>
      </c>
      <c r="B929">
        <v>1973459</v>
      </c>
      <c r="C929" t="str">
        <f t="shared" si="12"/>
        <v>JUDSON INDEP SCHOOL DISTRICT</v>
      </c>
      <c r="D929" t="s">
        <v>11</v>
      </c>
      <c r="E929" t="s">
        <v>783</v>
      </c>
      <c r="F929" t="s">
        <v>25</v>
      </c>
      <c r="G929">
        <v>78233</v>
      </c>
      <c r="H929">
        <v>2010</v>
      </c>
      <c r="I929" s="1">
        <v>225335.59</v>
      </c>
      <c r="J929" s="1">
        <v>314186.64</v>
      </c>
      <c r="K929" s="1">
        <v>225335.59</v>
      </c>
    </row>
    <row r="930" spans="1:11" x14ac:dyDescent="0.35">
      <c r="A930">
        <v>752964</v>
      </c>
      <c r="B930">
        <v>2071899</v>
      </c>
      <c r="C930" t="str">
        <f>"KARNACK INDEP SCHOOL DISTRICT"</f>
        <v>KARNACK INDEP SCHOOL DISTRICT</v>
      </c>
      <c r="D930" t="s">
        <v>11</v>
      </c>
      <c r="E930" t="s">
        <v>784</v>
      </c>
      <c r="F930" t="s">
        <v>785</v>
      </c>
      <c r="G930">
        <v>75661</v>
      </c>
      <c r="H930">
        <v>2010</v>
      </c>
      <c r="I930" s="1">
        <v>57780</v>
      </c>
      <c r="J930" s="1">
        <v>64200</v>
      </c>
      <c r="K930" s="1">
        <v>38520</v>
      </c>
    </row>
    <row r="931" spans="1:11" x14ac:dyDescent="0.35">
      <c r="A931">
        <v>738080</v>
      </c>
      <c r="B931">
        <v>2038792</v>
      </c>
      <c r="C931" t="str">
        <f>"KARNES CITY INDEP SCHOOL DIST"</f>
        <v>KARNES CITY INDEP SCHOOL DIST</v>
      </c>
      <c r="D931" t="s">
        <v>11</v>
      </c>
      <c r="E931" t="s">
        <v>786</v>
      </c>
      <c r="F931" t="s">
        <v>787</v>
      </c>
      <c r="G931">
        <v>78118</v>
      </c>
      <c r="H931">
        <v>2010</v>
      </c>
      <c r="I931" s="1">
        <v>7603.2</v>
      </c>
      <c r="J931" s="1">
        <v>9504</v>
      </c>
    </row>
    <row r="932" spans="1:11" x14ac:dyDescent="0.35">
      <c r="A932">
        <v>760340</v>
      </c>
      <c r="B932">
        <v>2054469</v>
      </c>
      <c r="C932" t="str">
        <f>"KARNES CITY INDEP SCHOOL DIST"</f>
        <v>KARNES CITY INDEP SCHOOL DIST</v>
      </c>
      <c r="D932" t="s">
        <v>11</v>
      </c>
      <c r="E932" t="s">
        <v>786</v>
      </c>
      <c r="F932" t="s">
        <v>787</v>
      </c>
      <c r="G932">
        <v>78118</v>
      </c>
      <c r="H932">
        <v>2010</v>
      </c>
      <c r="I932" s="1">
        <v>3134.04</v>
      </c>
      <c r="J932" s="1">
        <v>3917.55</v>
      </c>
      <c r="K932" s="1">
        <v>3134.04</v>
      </c>
    </row>
    <row r="933" spans="1:11" x14ac:dyDescent="0.35">
      <c r="A933">
        <v>760340</v>
      </c>
      <c r="B933">
        <v>2054459</v>
      </c>
      <c r="C933" t="str">
        <f>"KARNES CITY INDEP SCHOOL DIST"</f>
        <v>KARNES CITY INDEP SCHOOL DIST</v>
      </c>
      <c r="D933" t="s">
        <v>11</v>
      </c>
      <c r="E933" t="s">
        <v>786</v>
      </c>
      <c r="F933" t="s">
        <v>787</v>
      </c>
      <c r="G933">
        <v>78118</v>
      </c>
      <c r="H933">
        <v>2010</v>
      </c>
      <c r="I933" s="1">
        <v>1507.01</v>
      </c>
      <c r="J933" s="1">
        <v>1883.76</v>
      </c>
      <c r="K933" s="1">
        <v>1507.01</v>
      </c>
    </row>
    <row r="934" spans="1:11" x14ac:dyDescent="0.35">
      <c r="A934">
        <v>738080</v>
      </c>
      <c r="B934">
        <v>2038660</v>
      </c>
      <c r="C934" t="str">
        <f>"KARNES CITY INDEP SCHOOL DIST"</f>
        <v>KARNES CITY INDEP SCHOOL DIST</v>
      </c>
      <c r="D934" t="s">
        <v>11</v>
      </c>
      <c r="E934" t="s">
        <v>786</v>
      </c>
      <c r="F934" t="s">
        <v>787</v>
      </c>
      <c r="G934">
        <v>78118</v>
      </c>
      <c r="H934">
        <v>2010</v>
      </c>
      <c r="I934" s="1">
        <v>7200</v>
      </c>
      <c r="J934" s="1">
        <v>9000</v>
      </c>
      <c r="K934" s="1">
        <v>6560</v>
      </c>
    </row>
    <row r="935" spans="1:11" x14ac:dyDescent="0.35">
      <c r="A935">
        <v>761686</v>
      </c>
      <c r="B935">
        <v>2057925</v>
      </c>
      <c r="C935" t="str">
        <f t="shared" ref="C935:C941" si="13">"KATY INDEP SCHOOL DISTRICT"</f>
        <v>KATY INDEP SCHOOL DISTRICT</v>
      </c>
      <c r="D935" t="s">
        <v>11</v>
      </c>
      <c r="E935" t="s">
        <v>788</v>
      </c>
      <c r="F935" t="s">
        <v>242</v>
      </c>
      <c r="G935">
        <v>77494</v>
      </c>
      <c r="H935">
        <v>2010</v>
      </c>
      <c r="I935" s="1">
        <v>0</v>
      </c>
      <c r="J935" s="1">
        <v>0</v>
      </c>
    </row>
    <row r="936" spans="1:11" x14ac:dyDescent="0.35">
      <c r="A936">
        <v>761686</v>
      </c>
      <c r="B936">
        <v>2070050</v>
      </c>
      <c r="C936" t="str">
        <f t="shared" si="13"/>
        <v>KATY INDEP SCHOOL DISTRICT</v>
      </c>
      <c r="D936" t="s">
        <v>11</v>
      </c>
      <c r="E936" t="s">
        <v>788</v>
      </c>
      <c r="F936" t="s">
        <v>242</v>
      </c>
      <c r="G936">
        <v>77494</v>
      </c>
      <c r="H936">
        <v>2010</v>
      </c>
      <c r="I936" s="1">
        <v>457226.21</v>
      </c>
      <c r="J936" s="1">
        <v>571532.76</v>
      </c>
      <c r="K936" s="1">
        <v>0</v>
      </c>
    </row>
    <row r="937" spans="1:11" x14ac:dyDescent="0.35">
      <c r="A937">
        <v>761686</v>
      </c>
      <c r="B937">
        <v>2070485</v>
      </c>
      <c r="C937" t="str">
        <f t="shared" si="13"/>
        <v>KATY INDEP SCHOOL DISTRICT</v>
      </c>
      <c r="D937" t="s">
        <v>11</v>
      </c>
      <c r="E937" t="s">
        <v>788</v>
      </c>
      <c r="F937" t="s">
        <v>242</v>
      </c>
      <c r="G937">
        <v>77494</v>
      </c>
      <c r="H937">
        <v>2010</v>
      </c>
      <c r="I937" s="1">
        <v>651260.9</v>
      </c>
      <c r="J937" s="1">
        <v>1447246.44</v>
      </c>
    </row>
    <row r="938" spans="1:11" x14ac:dyDescent="0.35">
      <c r="A938">
        <v>751162</v>
      </c>
      <c r="B938">
        <v>2036806</v>
      </c>
      <c r="C938" t="str">
        <f t="shared" si="13"/>
        <v>KATY INDEP SCHOOL DISTRICT</v>
      </c>
      <c r="D938" t="s">
        <v>11</v>
      </c>
      <c r="E938" t="s">
        <v>788</v>
      </c>
      <c r="F938" t="s">
        <v>242</v>
      </c>
      <c r="G938">
        <v>77494</v>
      </c>
      <c r="H938">
        <v>2010</v>
      </c>
      <c r="I938" s="1">
        <v>128221.1</v>
      </c>
      <c r="J938" s="1">
        <v>241926.6</v>
      </c>
      <c r="K938" s="1">
        <v>70816.399999999994</v>
      </c>
    </row>
    <row r="939" spans="1:11" x14ac:dyDescent="0.35">
      <c r="A939">
        <v>751162</v>
      </c>
      <c r="B939">
        <v>2036140</v>
      </c>
      <c r="C939" t="str">
        <f t="shared" si="13"/>
        <v>KATY INDEP SCHOOL DISTRICT</v>
      </c>
      <c r="D939" t="s">
        <v>11</v>
      </c>
      <c r="E939" t="s">
        <v>788</v>
      </c>
      <c r="F939" t="s">
        <v>242</v>
      </c>
      <c r="G939">
        <v>77494</v>
      </c>
      <c r="H939">
        <v>2010</v>
      </c>
      <c r="I939" s="1">
        <v>23468.400000000001</v>
      </c>
      <c r="J939" s="1">
        <v>44280</v>
      </c>
      <c r="K939" s="1">
        <v>22811.9</v>
      </c>
    </row>
    <row r="940" spans="1:11" x14ac:dyDescent="0.35">
      <c r="A940">
        <v>751162</v>
      </c>
      <c r="B940">
        <v>2036712</v>
      </c>
      <c r="C940" t="str">
        <f t="shared" si="13"/>
        <v>KATY INDEP SCHOOL DISTRICT</v>
      </c>
      <c r="D940" t="s">
        <v>11</v>
      </c>
      <c r="E940" t="s">
        <v>788</v>
      </c>
      <c r="F940" t="s">
        <v>242</v>
      </c>
      <c r="G940">
        <v>77494</v>
      </c>
      <c r="H940">
        <v>2010</v>
      </c>
      <c r="I940" s="1">
        <v>3954.65</v>
      </c>
      <c r="J940" s="1">
        <v>7461.6</v>
      </c>
      <c r="K940" s="1">
        <v>3954.65</v>
      </c>
    </row>
    <row r="941" spans="1:11" x14ac:dyDescent="0.35">
      <c r="A941">
        <v>751162</v>
      </c>
      <c r="B941">
        <v>2043334</v>
      </c>
      <c r="C941" t="str">
        <f t="shared" si="13"/>
        <v>KATY INDEP SCHOOL DISTRICT</v>
      </c>
      <c r="D941" t="s">
        <v>11</v>
      </c>
      <c r="E941" t="s">
        <v>788</v>
      </c>
      <c r="F941" t="s">
        <v>242</v>
      </c>
      <c r="G941">
        <v>77494</v>
      </c>
      <c r="H941">
        <v>2010</v>
      </c>
      <c r="I941" s="1">
        <v>11766</v>
      </c>
      <c r="J941" s="1">
        <v>22200</v>
      </c>
      <c r="K941" s="1">
        <v>3630.5</v>
      </c>
    </row>
    <row r="942" spans="1:11" x14ac:dyDescent="0.35">
      <c r="A942">
        <v>715018</v>
      </c>
      <c r="B942">
        <v>1973351</v>
      </c>
      <c r="C942" t="str">
        <f>"KAUFMAN INDEP SCHOOL DISTRICT"</f>
        <v>KAUFMAN INDEP SCHOOL DISTRICT</v>
      </c>
      <c r="D942" t="s">
        <v>11</v>
      </c>
      <c r="E942" t="s">
        <v>789</v>
      </c>
      <c r="F942" t="s">
        <v>790</v>
      </c>
      <c r="G942">
        <v>75142</v>
      </c>
      <c r="H942">
        <v>2010</v>
      </c>
      <c r="I942" s="1">
        <v>6377.96</v>
      </c>
      <c r="J942" s="1">
        <v>8503.9500000000007</v>
      </c>
      <c r="K942" s="1">
        <v>6377.96</v>
      </c>
    </row>
    <row r="943" spans="1:11" x14ac:dyDescent="0.35">
      <c r="A943">
        <v>728787</v>
      </c>
      <c r="B943">
        <v>2018432</v>
      </c>
      <c r="C943" t="str">
        <f>"KEENE INDEP SCHOOL DISTRICT"</f>
        <v>KEENE INDEP SCHOOL DISTRICT</v>
      </c>
      <c r="D943" t="s">
        <v>11</v>
      </c>
      <c r="E943" t="s">
        <v>791</v>
      </c>
      <c r="F943" t="s">
        <v>792</v>
      </c>
      <c r="G943">
        <v>76059</v>
      </c>
      <c r="H943">
        <v>2010</v>
      </c>
      <c r="I943" s="1">
        <v>6723.36</v>
      </c>
      <c r="J943" s="1">
        <v>7728</v>
      </c>
      <c r="K943" s="1">
        <v>6723.36</v>
      </c>
    </row>
    <row r="944" spans="1:11" x14ac:dyDescent="0.35">
      <c r="A944">
        <v>728787</v>
      </c>
      <c r="B944">
        <v>2018507</v>
      </c>
      <c r="C944" t="str">
        <f>"KEENE INDEP SCHOOL DISTRICT"</f>
        <v>KEENE INDEP SCHOOL DISTRICT</v>
      </c>
      <c r="D944" t="s">
        <v>11</v>
      </c>
      <c r="E944" t="s">
        <v>791</v>
      </c>
      <c r="F944" t="s">
        <v>792</v>
      </c>
      <c r="G944">
        <v>76059</v>
      </c>
      <c r="H944">
        <v>2010</v>
      </c>
      <c r="I944" s="1">
        <v>4350</v>
      </c>
      <c r="J944" s="1">
        <v>5000</v>
      </c>
      <c r="K944" s="1">
        <v>4350</v>
      </c>
    </row>
    <row r="945" spans="1:11" x14ac:dyDescent="0.35">
      <c r="A945">
        <v>728787</v>
      </c>
      <c r="B945">
        <v>2018482</v>
      </c>
      <c r="C945" t="str">
        <f>"KEENE INDEP SCHOOL DISTRICT"</f>
        <v>KEENE INDEP SCHOOL DISTRICT</v>
      </c>
      <c r="D945" t="s">
        <v>11</v>
      </c>
      <c r="E945" t="s">
        <v>791</v>
      </c>
      <c r="F945" t="s">
        <v>792</v>
      </c>
      <c r="G945">
        <v>76059</v>
      </c>
      <c r="H945">
        <v>2010</v>
      </c>
      <c r="I945" s="1">
        <v>3628.34</v>
      </c>
      <c r="J945" s="1">
        <v>4170.5</v>
      </c>
      <c r="K945" s="1">
        <v>3628.34</v>
      </c>
    </row>
    <row r="946" spans="1:11" x14ac:dyDescent="0.35">
      <c r="A946">
        <v>715072</v>
      </c>
      <c r="B946">
        <v>1977641</v>
      </c>
      <c r="C946" t="str">
        <f>"KELLER ISD"</f>
        <v>KELLER ISD</v>
      </c>
      <c r="D946" t="s">
        <v>11</v>
      </c>
      <c r="E946" t="s">
        <v>793</v>
      </c>
      <c r="F946" t="s">
        <v>794</v>
      </c>
      <c r="G946">
        <v>76248</v>
      </c>
      <c r="H946">
        <v>2010</v>
      </c>
      <c r="I946" s="1">
        <v>20700</v>
      </c>
      <c r="J946" s="1">
        <v>46000</v>
      </c>
      <c r="K946" s="1">
        <v>20070</v>
      </c>
    </row>
    <row r="947" spans="1:11" x14ac:dyDescent="0.35">
      <c r="A947">
        <v>715072</v>
      </c>
      <c r="B947">
        <v>2011125</v>
      </c>
      <c r="C947" t="str">
        <f>"KELLER ISD"</f>
        <v>KELLER ISD</v>
      </c>
      <c r="D947" t="s">
        <v>11</v>
      </c>
      <c r="E947" t="s">
        <v>793</v>
      </c>
      <c r="F947" t="s">
        <v>794</v>
      </c>
      <c r="G947">
        <v>76248</v>
      </c>
      <c r="H947">
        <v>2010</v>
      </c>
      <c r="I947" s="1">
        <v>16173</v>
      </c>
      <c r="J947" s="1">
        <v>37940</v>
      </c>
      <c r="K947" s="1">
        <v>16173</v>
      </c>
    </row>
    <row r="948" spans="1:11" x14ac:dyDescent="0.35">
      <c r="A948">
        <v>715072</v>
      </c>
      <c r="B948">
        <v>1977635</v>
      </c>
      <c r="C948" t="str">
        <f>"KELLER ISD"</f>
        <v>KELLER ISD</v>
      </c>
      <c r="D948" t="s">
        <v>11</v>
      </c>
      <c r="E948" t="s">
        <v>793</v>
      </c>
      <c r="F948" t="s">
        <v>794</v>
      </c>
      <c r="G948">
        <v>76248</v>
      </c>
      <c r="H948">
        <v>2010</v>
      </c>
      <c r="I948" s="1">
        <v>0</v>
      </c>
      <c r="J948" s="1">
        <v>0</v>
      </c>
    </row>
    <row r="949" spans="1:11" x14ac:dyDescent="0.35">
      <c r="A949">
        <v>715072</v>
      </c>
      <c r="B949">
        <v>1977638</v>
      </c>
      <c r="C949" t="str">
        <f>"KELLER ISD"</f>
        <v>KELLER ISD</v>
      </c>
      <c r="D949" t="s">
        <v>11</v>
      </c>
      <c r="E949" t="s">
        <v>793</v>
      </c>
      <c r="F949" t="s">
        <v>794</v>
      </c>
      <c r="G949">
        <v>76248</v>
      </c>
      <c r="H949">
        <v>2010</v>
      </c>
      <c r="I949" s="1">
        <v>38340</v>
      </c>
      <c r="J949" s="1">
        <v>85200</v>
      </c>
      <c r="K949" s="1">
        <v>38340</v>
      </c>
    </row>
    <row r="950" spans="1:11" x14ac:dyDescent="0.35">
      <c r="A950">
        <v>729478</v>
      </c>
      <c r="B950">
        <v>1973498</v>
      </c>
      <c r="C950" t="str">
        <f>"KELTON INDEP SCHOOL DISTRICT"</f>
        <v>KELTON INDEP SCHOOL DISTRICT</v>
      </c>
      <c r="D950" t="s">
        <v>11</v>
      </c>
      <c r="E950" t="s">
        <v>795</v>
      </c>
      <c r="F950" t="s">
        <v>796</v>
      </c>
      <c r="G950">
        <v>79096</v>
      </c>
      <c r="H950">
        <v>2010</v>
      </c>
      <c r="I950" s="1">
        <v>0</v>
      </c>
      <c r="J950" s="1">
        <v>0</v>
      </c>
    </row>
    <row r="951" spans="1:11" x14ac:dyDescent="0.35">
      <c r="A951">
        <v>729478</v>
      </c>
      <c r="B951">
        <v>1973507</v>
      </c>
      <c r="C951" t="str">
        <f>"KELTON INDEP SCHOOL DISTRICT"</f>
        <v>KELTON INDEP SCHOOL DISTRICT</v>
      </c>
      <c r="D951" t="s">
        <v>11</v>
      </c>
      <c r="E951" t="s">
        <v>795</v>
      </c>
      <c r="F951" t="s">
        <v>796</v>
      </c>
      <c r="G951">
        <v>79096</v>
      </c>
      <c r="H951">
        <v>2010</v>
      </c>
      <c r="I951" s="1">
        <v>0</v>
      </c>
      <c r="J951" s="1">
        <v>0</v>
      </c>
    </row>
    <row r="952" spans="1:11" x14ac:dyDescent="0.35">
      <c r="A952">
        <v>764790</v>
      </c>
      <c r="B952">
        <v>2066447</v>
      </c>
      <c r="C952" t="str">
        <f>"KELTON INDEP SCHOOL DISTRICT"</f>
        <v>KELTON INDEP SCHOOL DISTRICT</v>
      </c>
      <c r="D952" t="s">
        <v>11</v>
      </c>
      <c r="E952" t="s">
        <v>795</v>
      </c>
      <c r="F952" t="s">
        <v>796</v>
      </c>
      <c r="G952">
        <v>79096</v>
      </c>
      <c r="H952">
        <v>2010</v>
      </c>
      <c r="I952" s="1">
        <v>0</v>
      </c>
      <c r="J952" s="1">
        <v>0</v>
      </c>
    </row>
    <row r="953" spans="1:11" x14ac:dyDescent="0.35">
      <c r="A953">
        <v>729478</v>
      </c>
      <c r="B953">
        <v>1973472</v>
      </c>
      <c r="C953" t="str">
        <f>"KELTON INDEP SCHOOL DISTRICT"</f>
        <v>KELTON INDEP SCHOOL DISTRICT</v>
      </c>
      <c r="D953" t="s">
        <v>11</v>
      </c>
      <c r="E953" t="s">
        <v>795</v>
      </c>
      <c r="F953" t="s">
        <v>796</v>
      </c>
      <c r="G953">
        <v>79096</v>
      </c>
      <c r="H953">
        <v>2010</v>
      </c>
      <c r="I953" s="1">
        <v>0</v>
      </c>
      <c r="J953" s="1">
        <v>0</v>
      </c>
    </row>
    <row r="954" spans="1:11" x14ac:dyDescent="0.35">
      <c r="A954">
        <v>728332</v>
      </c>
      <c r="B954">
        <v>1970611</v>
      </c>
      <c r="C954" t="str">
        <f>"KENDLETON INDEP SCHOOL DIST"</f>
        <v>KENDLETON INDEP SCHOOL DIST</v>
      </c>
      <c r="D954" t="s">
        <v>11</v>
      </c>
      <c r="E954" t="s">
        <v>797</v>
      </c>
      <c r="F954" t="s">
        <v>798</v>
      </c>
      <c r="G954">
        <v>77451</v>
      </c>
      <c r="H954">
        <v>2010</v>
      </c>
      <c r="I954" s="1">
        <v>0</v>
      </c>
      <c r="J954" s="1">
        <v>0</v>
      </c>
    </row>
    <row r="955" spans="1:11" x14ac:dyDescent="0.35">
      <c r="A955">
        <v>728332</v>
      </c>
      <c r="B955">
        <v>1970590</v>
      </c>
      <c r="C955" t="str">
        <f>"KENDLETON INDEP SCHOOL DIST"</f>
        <v>KENDLETON INDEP SCHOOL DIST</v>
      </c>
      <c r="D955" t="s">
        <v>11</v>
      </c>
      <c r="E955" t="s">
        <v>797</v>
      </c>
      <c r="F955" t="s">
        <v>798</v>
      </c>
      <c r="G955">
        <v>77451</v>
      </c>
      <c r="H955">
        <v>2010</v>
      </c>
      <c r="I955" s="1">
        <v>0</v>
      </c>
      <c r="J955" s="1">
        <v>0</v>
      </c>
    </row>
    <row r="956" spans="1:11" x14ac:dyDescent="0.35">
      <c r="A956">
        <v>762350</v>
      </c>
      <c r="B956">
        <v>2059468</v>
      </c>
      <c r="C956" t="str">
        <f>"KENEDY COUNTY COMMON SD"</f>
        <v>KENEDY COUNTY COMMON SD</v>
      </c>
      <c r="D956" t="s">
        <v>11</v>
      </c>
      <c r="E956" t="s">
        <v>799</v>
      </c>
      <c r="F956" t="s">
        <v>800</v>
      </c>
      <c r="G956">
        <v>78385</v>
      </c>
      <c r="H956">
        <v>2010</v>
      </c>
      <c r="I956" s="1">
        <v>12529.15</v>
      </c>
      <c r="J956" s="1">
        <v>15661.44</v>
      </c>
      <c r="K956" s="1">
        <v>12529.15</v>
      </c>
    </row>
    <row r="957" spans="1:11" x14ac:dyDescent="0.35">
      <c r="A957">
        <v>764184</v>
      </c>
      <c r="B957">
        <v>2065267</v>
      </c>
      <c r="C957" t="str">
        <f>"KENEDY INDEP SCHOOL DISTRICT"</f>
        <v>KENEDY INDEP SCHOOL DISTRICT</v>
      </c>
      <c r="D957" t="s">
        <v>11</v>
      </c>
      <c r="E957" t="s">
        <v>801</v>
      </c>
      <c r="F957" t="s">
        <v>802</v>
      </c>
      <c r="G957">
        <v>78119</v>
      </c>
      <c r="H957">
        <v>2010</v>
      </c>
      <c r="I957" s="1">
        <v>1385.49</v>
      </c>
      <c r="J957" s="1">
        <v>1592.52</v>
      </c>
    </row>
    <row r="958" spans="1:11" x14ac:dyDescent="0.35">
      <c r="A958">
        <v>764184</v>
      </c>
      <c r="B958">
        <v>2065282</v>
      </c>
      <c r="C958" t="str">
        <f>"KENEDY INDEP SCHOOL DISTRICT"</f>
        <v>KENEDY INDEP SCHOOL DISTRICT</v>
      </c>
      <c r="D958" t="s">
        <v>11</v>
      </c>
      <c r="E958" t="s">
        <v>801</v>
      </c>
      <c r="F958" t="s">
        <v>802</v>
      </c>
      <c r="G958">
        <v>78119</v>
      </c>
      <c r="H958">
        <v>2010</v>
      </c>
      <c r="I958" s="1">
        <v>3027.6</v>
      </c>
      <c r="J958" s="1">
        <v>3480</v>
      </c>
      <c r="K958" s="1">
        <v>2897.1</v>
      </c>
    </row>
    <row r="959" spans="1:11" x14ac:dyDescent="0.35">
      <c r="A959">
        <v>746897</v>
      </c>
      <c r="B959">
        <v>2016243</v>
      </c>
      <c r="C959" t="str">
        <f>"KENNARD INDEP SCHOOL DISTRICT"</f>
        <v>KENNARD INDEP SCHOOL DISTRICT</v>
      </c>
      <c r="D959" t="s">
        <v>11</v>
      </c>
      <c r="E959" t="s">
        <v>803</v>
      </c>
      <c r="F959" t="s">
        <v>804</v>
      </c>
      <c r="G959">
        <v>75847</v>
      </c>
      <c r="H959">
        <v>2010</v>
      </c>
      <c r="I959" s="1">
        <v>14904</v>
      </c>
      <c r="J959" s="1">
        <v>18630</v>
      </c>
      <c r="K959" s="1">
        <v>14904</v>
      </c>
    </row>
    <row r="960" spans="1:11" x14ac:dyDescent="0.35">
      <c r="A960">
        <v>746897</v>
      </c>
      <c r="B960">
        <v>2016316</v>
      </c>
      <c r="C960" t="str">
        <f>"KENNARD INDEP SCHOOL DISTRICT"</f>
        <v>KENNARD INDEP SCHOOL DISTRICT</v>
      </c>
      <c r="D960" t="s">
        <v>11</v>
      </c>
      <c r="E960" t="s">
        <v>803</v>
      </c>
      <c r="F960" t="s">
        <v>804</v>
      </c>
      <c r="G960">
        <v>75847</v>
      </c>
      <c r="H960">
        <v>2010</v>
      </c>
      <c r="I960" s="1">
        <v>6700.04</v>
      </c>
      <c r="J960" s="1">
        <v>8375.0499999999993</v>
      </c>
      <c r="K960" s="1">
        <v>6700.04</v>
      </c>
    </row>
    <row r="961" spans="1:11" x14ac:dyDescent="0.35">
      <c r="A961">
        <v>718571</v>
      </c>
      <c r="B961">
        <v>1952136</v>
      </c>
      <c r="C961" t="str">
        <f>"KENNEDALE INDEP SCHOOL DIST"</f>
        <v>KENNEDALE INDEP SCHOOL DIST</v>
      </c>
      <c r="D961" t="s">
        <v>11</v>
      </c>
      <c r="E961" t="s">
        <v>805</v>
      </c>
      <c r="F961" t="s">
        <v>806</v>
      </c>
      <c r="G961">
        <v>76060</v>
      </c>
      <c r="H961">
        <v>2010</v>
      </c>
      <c r="I961" s="1">
        <v>19656.38</v>
      </c>
      <c r="J961" s="1">
        <v>34484.879999999997</v>
      </c>
      <c r="K961" s="1">
        <v>19656.38</v>
      </c>
    </row>
    <row r="962" spans="1:11" x14ac:dyDescent="0.35">
      <c r="A962">
        <v>718571</v>
      </c>
      <c r="B962">
        <v>1952141</v>
      </c>
      <c r="C962" t="str">
        <f>"KENNEDALE INDEP SCHOOL DIST"</f>
        <v>KENNEDALE INDEP SCHOOL DIST</v>
      </c>
      <c r="D962" t="s">
        <v>11</v>
      </c>
      <c r="E962" t="s">
        <v>805</v>
      </c>
      <c r="F962" t="s">
        <v>806</v>
      </c>
      <c r="G962">
        <v>76060</v>
      </c>
      <c r="H962">
        <v>2010</v>
      </c>
      <c r="I962" s="1">
        <v>5208.74</v>
      </c>
      <c r="J962" s="1">
        <v>9138.85</v>
      </c>
      <c r="K962" s="1">
        <v>5208.74</v>
      </c>
    </row>
    <row r="963" spans="1:11" x14ac:dyDescent="0.35">
      <c r="A963">
        <v>743917</v>
      </c>
      <c r="B963">
        <v>2008466</v>
      </c>
      <c r="C963" t="str">
        <f>"KERENS INDEP SCHOOL DISTRICT"</f>
        <v>KERENS INDEP SCHOOL DISTRICT</v>
      </c>
      <c r="D963" t="s">
        <v>11</v>
      </c>
      <c r="E963" t="s">
        <v>807</v>
      </c>
      <c r="F963" t="s">
        <v>808</v>
      </c>
      <c r="G963">
        <v>75144</v>
      </c>
      <c r="H963">
        <v>2010</v>
      </c>
      <c r="I963" s="1">
        <v>27999.94</v>
      </c>
      <c r="J963" s="1">
        <v>34999.919999999998</v>
      </c>
      <c r="K963" s="1">
        <v>27999.94</v>
      </c>
    </row>
    <row r="964" spans="1:11" x14ac:dyDescent="0.35">
      <c r="A964">
        <v>746991</v>
      </c>
      <c r="B964">
        <v>2016544</v>
      </c>
      <c r="C964" t="str">
        <f>"KERENS INDEP SCHOOL DISTRICT"</f>
        <v>KERENS INDEP SCHOOL DISTRICT</v>
      </c>
      <c r="D964" t="s">
        <v>11</v>
      </c>
      <c r="E964" t="s">
        <v>807</v>
      </c>
      <c r="F964" t="s">
        <v>808</v>
      </c>
      <c r="G964">
        <v>75144</v>
      </c>
      <c r="H964">
        <v>2010</v>
      </c>
      <c r="I964" s="1">
        <v>4751.04</v>
      </c>
      <c r="J964" s="1">
        <v>5938.8</v>
      </c>
      <c r="K964" s="1">
        <v>4520.72</v>
      </c>
    </row>
    <row r="965" spans="1:11" x14ac:dyDescent="0.35">
      <c r="A965">
        <v>747098</v>
      </c>
      <c r="B965">
        <v>2017057</v>
      </c>
      <c r="C965" t="str">
        <f>"KERENS INDEP SCHOOL DISTRICT"</f>
        <v>KERENS INDEP SCHOOL DISTRICT</v>
      </c>
      <c r="D965" t="s">
        <v>11</v>
      </c>
      <c r="E965" t="s">
        <v>807</v>
      </c>
      <c r="F965" t="s">
        <v>808</v>
      </c>
      <c r="G965">
        <v>75144</v>
      </c>
      <c r="H965">
        <v>2010</v>
      </c>
      <c r="I965" s="1">
        <v>426.24</v>
      </c>
      <c r="J965" s="1">
        <v>532.79999999999995</v>
      </c>
      <c r="K965" s="1">
        <v>426.24</v>
      </c>
    </row>
    <row r="966" spans="1:11" x14ac:dyDescent="0.35">
      <c r="A966">
        <v>764968</v>
      </c>
      <c r="B966">
        <v>2067467</v>
      </c>
      <c r="C966" t="str">
        <f>"KERRVILLE INDEP SCHOOL DIST"</f>
        <v>KERRVILLE INDEP SCHOOL DIST</v>
      </c>
      <c r="D966" t="s">
        <v>11</v>
      </c>
      <c r="E966" t="s">
        <v>809</v>
      </c>
      <c r="F966" t="s">
        <v>810</v>
      </c>
      <c r="G966">
        <v>78028</v>
      </c>
      <c r="H966">
        <v>2010</v>
      </c>
      <c r="I966" s="1">
        <v>3042</v>
      </c>
      <c r="J966" s="1">
        <v>3900</v>
      </c>
      <c r="K966" s="1">
        <v>3042</v>
      </c>
    </row>
    <row r="967" spans="1:11" x14ac:dyDescent="0.35">
      <c r="A967">
        <v>752915</v>
      </c>
      <c r="B967">
        <v>2042386</v>
      </c>
      <c r="C967" t="str">
        <f>"KILLEEN INDEP SCHOOL DISTRICT"</f>
        <v>KILLEEN INDEP SCHOOL DISTRICT</v>
      </c>
      <c r="D967" t="s">
        <v>11</v>
      </c>
      <c r="E967" t="s">
        <v>811</v>
      </c>
      <c r="F967" t="s">
        <v>812</v>
      </c>
      <c r="G967">
        <v>76540</v>
      </c>
      <c r="H967">
        <v>2010</v>
      </c>
      <c r="I967" s="1">
        <v>11760</v>
      </c>
      <c r="J967" s="1">
        <v>16800</v>
      </c>
      <c r="K967" s="1">
        <v>3317.48</v>
      </c>
    </row>
    <row r="968" spans="1:11" x14ac:dyDescent="0.35">
      <c r="A968">
        <v>752915</v>
      </c>
      <c r="B968">
        <v>2054395</v>
      </c>
      <c r="C968" t="str">
        <f>"KILLEEN INDEP SCHOOL DISTRICT"</f>
        <v>KILLEEN INDEP SCHOOL DISTRICT</v>
      </c>
      <c r="D968" t="s">
        <v>11</v>
      </c>
      <c r="E968" t="s">
        <v>811</v>
      </c>
      <c r="F968" t="s">
        <v>812</v>
      </c>
      <c r="G968">
        <v>76540</v>
      </c>
      <c r="H968">
        <v>2010</v>
      </c>
      <c r="I968" s="1">
        <v>29761.200000000001</v>
      </c>
      <c r="J968" s="1">
        <v>42516</v>
      </c>
      <c r="K968" s="1">
        <v>29761.200000000001</v>
      </c>
    </row>
    <row r="969" spans="1:11" x14ac:dyDescent="0.35">
      <c r="A969">
        <v>761045</v>
      </c>
      <c r="B969">
        <v>2056115</v>
      </c>
      <c r="C969" t="str">
        <f>"KINGSVILLE INDEP SCHOOL DIST"</f>
        <v>KINGSVILLE INDEP SCHOOL DIST</v>
      </c>
      <c r="D969" t="s">
        <v>11</v>
      </c>
      <c r="E969" t="s">
        <v>813</v>
      </c>
      <c r="F969" t="s">
        <v>814</v>
      </c>
      <c r="G969">
        <v>78364</v>
      </c>
      <c r="H969">
        <v>2010</v>
      </c>
      <c r="I969" s="1">
        <v>32616.23</v>
      </c>
      <c r="J969" s="1">
        <v>37489.919999999998</v>
      </c>
      <c r="K969" s="1">
        <v>32616.23</v>
      </c>
    </row>
    <row r="970" spans="1:11" x14ac:dyDescent="0.35">
      <c r="A970">
        <v>767930</v>
      </c>
      <c r="B970">
        <v>2076759</v>
      </c>
      <c r="C970" t="str">
        <f>"KINGSVILLE INDEP SCHOOL DIST"</f>
        <v>KINGSVILLE INDEP SCHOOL DIST</v>
      </c>
      <c r="D970" t="s">
        <v>11</v>
      </c>
      <c r="E970" t="s">
        <v>813</v>
      </c>
      <c r="F970" t="s">
        <v>814</v>
      </c>
      <c r="G970">
        <v>78364</v>
      </c>
      <c r="H970">
        <v>2010</v>
      </c>
      <c r="I970" s="1">
        <v>6149.16</v>
      </c>
      <c r="J970" s="1">
        <v>7068</v>
      </c>
      <c r="K970" s="1">
        <v>5434.78</v>
      </c>
    </row>
    <row r="971" spans="1:11" x14ac:dyDescent="0.35">
      <c r="A971">
        <v>761553</v>
      </c>
      <c r="B971">
        <v>2057590</v>
      </c>
      <c r="C971" t="str">
        <f>"KINGSVILLE INDEP SCHOOL DIST"</f>
        <v>KINGSVILLE INDEP SCHOOL DIST</v>
      </c>
      <c r="D971" t="s">
        <v>11</v>
      </c>
      <c r="E971" t="s">
        <v>813</v>
      </c>
      <c r="F971" t="s">
        <v>814</v>
      </c>
      <c r="G971">
        <v>78364</v>
      </c>
      <c r="H971">
        <v>2010</v>
      </c>
      <c r="I971" s="1">
        <v>3371.28</v>
      </c>
      <c r="J971" s="1">
        <v>3875.04</v>
      </c>
      <c r="K971" s="1">
        <v>3371.25</v>
      </c>
    </row>
    <row r="972" spans="1:11" x14ac:dyDescent="0.35">
      <c r="A972">
        <v>761553</v>
      </c>
      <c r="B972">
        <v>2057545</v>
      </c>
      <c r="C972" t="str">
        <f>"KINGSVILLE INDEP SCHOOL DIST"</f>
        <v>KINGSVILLE INDEP SCHOOL DIST</v>
      </c>
      <c r="D972" t="s">
        <v>11</v>
      </c>
      <c r="E972" t="s">
        <v>813</v>
      </c>
      <c r="F972" t="s">
        <v>814</v>
      </c>
      <c r="G972">
        <v>78364</v>
      </c>
      <c r="H972">
        <v>2010</v>
      </c>
      <c r="I972" s="1">
        <v>5676.75</v>
      </c>
      <c r="J972" s="1">
        <v>6525</v>
      </c>
      <c r="K972" s="1">
        <v>5676.75</v>
      </c>
    </row>
    <row r="973" spans="1:11" x14ac:dyDescent="0.35">
      <c r="A973">
        <v>764786</v>
      </c>
      <c r="B973">
        <v>2067179</v>
      </c>
      <c r="C973" t="str">
        <f>"KINGSVILLE INDEP SCHOOL DIST"</f>
        <v>KINGSVILLE INDEP SCHOOL DIST</v>
      </c>
      <c r="D973" t="s">
        <v>11</v>
      </c>
      <c r="E973" t="s">
        <v>813</v>
      </c>
      <c r="F973" t="s">
        <v>814</v>
      </c>
      <c r="G973">
        <v>78364</v>
      </c>
      <c r="H973">
        <v>2010</v>
      </c>
      <c r="I973" s="1">
        <v>0</v>
      </c>
      <c r="J973" s="1">
        <v>0</v>
      </c>
    </row>
    <row r="974" spans="1:11" x14ac:dyDescent="0.35">
      <c r="A974">
        <v>766657</v>
      </c>
      <c r="B974">
        <v>2072433</v>
      </c>
      <c r="C974" t="str">
        <f>"KIPP Aspire Academy, Inc."</f>
        <v>KIPP Aspire Academy, Inc.</v>
      </c>
      <c r="D974" t="s">
        <v>11</v>
      </c>
      <c r="E974" t="s">
        <v>815</v>
      </c>
      <c r="F974" t="s">
        <v>25</v>
      </c>
      <c r="G974">
        <v>78201</v>
      </c>
      <c r="H974">
        <v>2010</v>
      </c>
      <c r="I974" s="1">
        <v>17952</v>
      </c>
      <c r="J974" s="1">
        <v>20400</v>
      </c>
      <c r="K974" s="1">
        <v>17952</v>
      </c>
    </row>
    <row r="975" spans="1:11" x14ac:dyDescent="0.35">
      <c r="A975">
        <v>751100</v>
      </c>
      <c r="B975">
        <v>2028939</v>
      </c>
      <c r="C975" t="str">
        <f>"KIPP: AUSTIN PUBLIC SCHOOLS"</f>
        <v>KIPP: AUSTIN PUBLIC SCHOOLS</v>
      </c>
      <c r="D975" t="s">
        <v>11</v>
      </c>
      <c r="E975" t="s">
        <v>816</v>
      </c>
      <c r="F975" t="s">
        <v>83</v>
      </c>
      <c r="G975">
        <v>78724</v>
      </c>
      <c r="H975">
        <v>2010</v>
      </c>
      <c r="I975" s="1">
        <v>39229.269999999997</v>
      </c>
      <c r="J975" s="1">
        <v>43588.08</v>
      </c>
      <c r="K975" s="1">
        <v>39229.269999999997</v>
      </c>
    </row>
    <row r="976" spans="1:11" x14ac:dyDescent="0.35">
      <c r="A976">
        <v>736318</v>
      </c>
      <c r="B976">
        <v>2009127</v>
      </c>
      <c r="C976" t="str">
        <f>"KIRBYVILLE INDEP SCHOOL DIST"</f>
        <v>KIRBYVILLE INDEP SCHOOL DIST</v>
      </c>
      <c r="D976" t="s">
        <v>11</v>
      </c>
      <c r="E976" t="s">
        <v>817</v>
      </c>
      <c r="F976" t="s">
        <v>818</v>
      </c>
      <c r="G976">
        <v>75956</v>
      </c>
      <c r="H976">
        <v>2010</v>
      </c>
      <c r="I976" s="1">
        <v>2088</v>
      </c>
      <c r="J976" s="1">
        <v>2610</v>
      </c>
      <c r="K976" s="1">
        <v>1800</v>
      </c>
    </row>
    <row r="977" spans="1:11" x14ac:dyDescent="0.35">
      <c r="A977">
        <v>736318</v>
      </c>
      <c r="B977">
        <v>2009114</v>
      </c>
      <c r="C977" t="str">
        <f>"KIRBYVILLE INDEP SCHOOL DIST"</f>
        <v>KIRBYVILLE INDEP SCHOOL DIST</v>
      </c>
      <c r="D977" t="s">
        <v>11</v>
      </c>
      <c r="E977" t="s">
        <v>817</v>
      </c>
      <c r="F977" t="s">
        <v>818</v>
      </c>
      <c r="G977">
        <v>75956</v>
      </c>
      <c r="H977">
        <v>2010</v>
      </c>
      <c r="I977" s="1">
        <v>2722.27</v>
      </c>
      <c r="J977" s="1">
        <v>3402.84</v>
      </c>
    </row>
    <row r="978" spans="1:11" x14ac:dyDescent="0.35">
      <c r="A978">
        <v>738430</v>
      </c>
      <c r="B978">
        <v>2015098</v>
      </c>
      <c r="C978" t="str">
        <f>"KLEIN ISD"</f>
        <v>KLEIN ISD</v>
      </c>
      <c r="D978" t="s">
        <v>11</v>
      </c>
      <c r="E978" t="s">
        <v>819</v>
      </c>
      <c r="F978" t="s">
        <v>820</v>
      </c>
      <c r="G978">
        <v>77379</v>
      </c>
      <c r="H978">
        <v>2010</v>
      </c>
      <c r="I978" s="1">
        <v>37007.25</v>
      </c>
      <c r="J978" s="1">
        <v>64925</v>
      </c>
      <c r="K978" s="1">
        <v>37007.25</v>
      </c>
    </row>
    <row r="979" spans="1:11" x14ac:dyDescent="0.35">
      <c r="A979">
        <v>738430</v>
      </c>
      <c r="B979">
        <v>2015107</v>
      </c>
      <c r="C979" t="str">
        <f>"KLEIN ISD"</f>
        <v>KLEIN ISD</v>
      </c>
      <c r="D979" t="s">
        <v>11</v>
      </c>
      <c r="E979" t="s">
        <v>819</v>
      </c>
      <c r="F979" t="s">
        <v>820</v>
      </c>
      <c r="G979">
        <v>77379</v>
      </c>
      <c r="H979">
        <v>2010</v>
      </c>
      <c r="I979" s="1">
        <v>3138.64</v>
      </c>
      <c r="J979" s="1">
        <v>5506.38</v>
      </c>
      <c r="K979" s="1">
        <v>3138.64</v>
      </c>
    </row>
    <row r="980" spans="1:11" x14ac:dyDescent="0.35">
      <c r="A980">
        <v>738430</v>
      </c>
      <c r="B980">
        <v>2015088</v>
      </c>
      <c r="C980" t="str">
        <f>"KLEIN ISD"</f>
        <v>KLEIN ISD</v>
      </c>
      <c r="D980" t="s">
        <v>11</v>
      </c>
      <c r="E980" t="s">
        <v>819</v>
      </c>
      <c r="F980" t="s">
        <v>820</v>
      </c>
      <c r="G980">
        <v>77379</v>
      </c>
      <c r="H980">
        <v>2010</v>
      </c>
      <c r="I980" s="1">
        <v>39330</v>
      </c>
      <c r="J980" s="1">
        <v>69000</v>
      </c>
      <c r="K980" s="1">
        <v>39330</v>
      </c>
    </row>
    <row r="981" spans="1:11" x14ac:dyDescent="0.35">
      <c r="A981">
        <v>738430</v>
      </c>
      <c r="B981">
        <v>2015085</v>
      </c>
      <c r="C981" t="str">
        <f>"KLEIN ISD"</f>
        <v>KLEIN ISD</v>
      </c>
      <c r="D981" t="s">
        <v>11</v>
      </c>
      <c r="E981" t="s">
        <v>819</v>
      </c>
      <c r="F981" t="s">
        <v>820</v>
      </c>
      <c r="G981">
        <v>77379</v>
      </c>
      <c r="H981">
        <v>2010</v>
      </c>
      <c r="I981" s="1">
        <v>341.93</v>
      </c>
      <c r="J981" s="1">
        <v>599.88</v>
      </c>
      <c r="K981" s="1">
        <v>341.93</v>
      </c>
    </row>
    <row r="982" spans="1:11" x14ac:dyDescent="0.35">
      <c r="A982">
        <v>735191</v>
      </c>
      <c r="B982">
        <v>1986801</v>
      </c>
      <c r="C982" t="str">
        <f>"KLONDIKE INDEP SCHOOL DISTRICT"</f>
        <v>KLONDIKE INDEP SCHOOL DISTRICT</v>
      </c>
      <c r="D982" t="s">
        <v>11</v>
      </c>
      <c r="E982" t="s">
        <v>821</v>
      </c>
      <c r="F982" t="s">
        <v>822</v>
      </c>
      <c r="G982">
        <v>79331</v>
      </c>
      <c r="H982">
        <v>2010</v>
      </c>
      <c r="I982" s="1">
        <v>1278.9000000000001</v>
      </c>
      <c r="J982" s="1">
        <v>1827</v>
      </c>
    </row>
    <row r="983" spans="1:11" x14ac:dyDescent="0.35">
      <c r="A983">
        <v>735191</v>
      </c>
      <c r="B983">
        <v>1986790</v>
      </c>
      <c r="C983" t="str">
        <f>"KLONDIKE INDEP SCHOOL DISTRICT"</f>
        <v>KLONDIKE INDEP SCHOOL DISTRICT</v>
      </c>
      <c r="D983" t="s">
        <v>11</v>
      </c>
      <c r="E983" t="s">
        <v>821</v>
      </c>
      <c r="F983" t="s">
        <v>822</v>
      </c>
      <c r="G983">
        <v>79331</v>
      </c>
      <c r="H983">
        <v>2010</v>
      </c>
      <c r="I983" s="1">
        <v>4830</v>
      </c>
      <c r="J983" s="1">
        <v>6900</v>
      </c>
      <c r="K983" s="1">
        <v>4830</v>
      </c>
    </row>
    <row r="984" spans="1:11" x14ac:dyDescent="0.35">
      <c r="A984">
        <v>719228</v>
      </c>
      <c r="B984">
        <v>1964160</v>
      </c>
      <c r="C984" t="str">
        <f>"KNIPPA INDEP SCHOOL DISTRICT"</f>
        <v>KNIPPA INDEP SCHOOL DISTRICT</v>
      </c>
      <c r="D984" t="s">
        <v>11</v>
      </c>
      <c r="E984" t="s">
        <v>823</v>
      </c>
      <c r="F984" t="s">
        <v>824</v>
      </c>
      <c r="G984">
        <v>78870</v>
      </c>
      <c r="H984">
        <v>2010</v>
      </c>
      <c r="I984" s="1">
        <v>3648</v>
      </c>
      <c r="J984" s="1">
        <v>4560</v>
      </c>
      <c r="K984" s="1">
        <v>3648</v>
      </c>
    </row>
    <row r="985" spans="1:11" x14ac:dyDescent="0.35">
      <c r="A985">
        <v>740102</v>
      </c>
      <c r="B985">
        <v>2005494</v>
      </c>
      <c r="C985" t="str">
        <f>"KNOX CITY-O'BRIEN IND SCH DIST"</f>
        <v>KNOX CITY-O'BRIEN IND SCH DIST</v>
      </c>
      <c r="D985" t="s">
        <v>11</v>
      </c>
      <c r="E985" t="s">
        <v>825</v>
      </c>
      <c r="F985" t="s">
        <v>826</v>
      </c>
      <c r="G985">
        <v>79529</v>
      </c>
      <c r="H985">
        <v>2010</v>
      </c>
      <c r="I985" s="1">
        <v>694.72</v>
      </c>
      <c r="J985" s="1">
        <v>817.32</v>
      </c>
      <c r="K985" s="1">
        <v>694.72</v>
      </c>
    </row>
    <row r="986" spans="1:11" x14ac:dyDescent="0.35">
      <c r="A986">
        <v>740102</v>
      </c>
      <c r="B986">
        <v>2005444</v>
      </c>
      <c r="C986" t="str">
        <f>"KNOX CITY-O'BRIEN IND SCH DIST"</f>
        <v>KNOX CITY-O'BRIEN IND SCH DIST</v>
      </c>
      <c r="D986" t="s">
        <v>11</v>
      </c>
      <c r="E986" t="s">
        <v>825</v>
      </c>
      <c r="F986" t="s">
        <v>826</v>
      </c>
      <c r="G986">
        <v>79529</v>
      </c>
      <c r="H986">
        <v>2010</v>
      </c>
      <c r="I986" s="1">
        <v>7047.18</v>
      </c>
      <c r="J986" s="1">
        <v>8290.7999999999993</v>
      </c>
      <c r="K986" s="1">
        <v>7047.18</v>
      </c>
    </row>
    <row r="987" spans="1:11" x14ac:dyDescent="0.35">
      <c r="A987">
        <v>713188</v>
      </c>
      <c r="B987">
        <v>1972872</v>
      </c>
      <c r="C987" t="str">
        <f>"KOPPERL SCHOOL DISTRICT"</f>
        <v>KOPPERL SCHOOL DISTRICT</v>
      </c>
      <c r="D987" t="s">
        <v>11</v>
      </c>
      <c r="E987" t="s">
        <v>827</v>
      </c>
      <c r="F987" t="s">
        <v>828</v>
      </c>
      <c r="G987">
        <v>76652</v>
      </c>
      <c r="H987">
        <v>2010</v>
      </c>
      <c r="I987" s="1">
        <v>18240</v>
      </c>
      <c r="J987" s="1">
        <v>22800</v>
      </c>
      <c r="K987" s="1">
        <v>18240</v>
      </c>
    </row>
    <row r="988" spans="1:11" x14ac:dyDescent="0.35">
      <c r="A988">
        <v>760095</v>
      </c>
      <c r="B988">
        <v>2053709</v>
      </c>
      <c r="C988" t="str">
        <f>"KRESS INDEP SCHOOL DISTRICT"</f>
        <v>KRESS INDEP SCHOOL DISTRICT</v>
      </c>
      <c r="D988" t="s">
        <v>11</v>
      </c>
      <c r="E988" t="s">
        <v>829</v>
      </c>
      <c r="F988" t="s">
        <v>830</v>
      </c>
      <c r="G988">
        <v>79052</v>
      </c>
      <c r="H988">
        <v>2010</v>
      </c>
      <c r="I988" s="1">
        <v>5311.97</v>
      </c>
      <c r="J988" s="1">
        <v>6639.96</v>
      </c>
      <c r="K988" s="1">
        <v>5311.97</v>
      </c>
    </row>
    <row r="989" spans="1:11" x14ac:dyDescent="0.35">
      <c r="A989">
        <v>767122</v>
      </c>
      <c r="B989">
        <v>2074017</v>
      </c>
      <c r="C989" t="str">
        <f>"KRESS INDEP SCHOOL DISTRICT"</f>
        <v>KRESS INDEP SCHOOL DISTRICT</v>
      </c>
      <c r="D989" t="s">
        <v>11</v>
      </c>
      <c r="E989" t="s">
        <v>829</v>
      </c>
      <c r="F989" t="s">
        <v>830</v>
      </c>
      <c r="G989">
        <v>79052</v>
      </c>
      <c r="H989">
        <v>2010</v>
      </c>
      <c r="I989" s="1">
        <v>1105</v>
      </c>
      <c r="J989" s="1">
        <v>1381.25</v>
      </c>
      <c r="K989" s="1">
        <v>1105</v>
      </c>
    </row>
    <row r="990" spans="1:11" x14ac:dyDescent="0.35">
      <c r="A990">
        <v>760095</v>
      </c>
      <c r="B990">
        <v>2053746</v>
      </c>
      <c r="C990" t="str">
        <f>"KRESS INDEP SCHOOL DISTRICT"</f>
        <v>KRESS INDEP SCHOOL DISTRICT</v>
      </c>
      <c r="D990" t="s">
        <v>11</v>
      </c>
      <c r="E990" t="s">
        <v>829</v>
      </c>
      <c r="F990" t="s">
        <v>830</v>
      </c>
      <c r="G990">
        <v>79052</v>
      </c>
      <c r="H990">
        <v>2010</v>
      </c>
      <c r="I990" s="1">
        <v>2960.06</v>
      </c>
      <c r="J990" s="1">
        <v>3700.08</v>
      </c>
      <c r="K990" s="1">
        <v>2960</v>
      </c>
    </row>
    <row r="991" spans="1:11" x14ac:dyDescent="0.35">
      <c r="A991">
        <v>757787</v>
      </c>
      <c r="B991">
        <v>2054424</v>
      </c>
      <c r="C991" t="str">
        <f>"KRUM INDEP SCHOOL DISTRICT"</f>
        <v>KRUM INDEP SCHOOL DISTRICT</v>
      </c>
      <c r="D991" t="s">
        <v>11</v>
      </c>
      <c r="E991" t="s">
        <v>831</v>
      </c>
      <c r="F991" t="s">
        <v>832</v>
      </c>
      <c r="G991">
        <v>76249</v>
      </c>
      <c r="H991">
        <v>2010</v>
      </c>
      <c r="I991" s="1">
        <v>3712.8</v>
      </c>
      <c r="J991" s="1">
        <v>7140</v>
      </c>
      <c r="K991" s="1">
        <v>3712.8</v>
      </c>
    </row>
    <row r="992" spans="1:11" x14ac:dyDescent="0.35">
      <c r="A992">
        <v>757787</v>
      </c>
      <c r="B992">
        <v>2054414</v>
      </c>
      <c r="C992" t="str">
        <f>"KRUM INDEP SCHOOL DISTRICT"</f>
        <v>KRUM INDEP SCHOOL DISTRICT</v>
      </c>
      <c r="D992" t="s">
        <v>11</v>
      </c>
      <c r="E992" t="s">
        <v>831</v>
      </c>
      <c r="F992" t="s">
        <v>832</v>
      </c>
      <c r="G992">
        <v>76249</v>
      </c>
      <c r="H992">
        <v>2010</v>
      </c>
      <c r="I992" s="1">
        <v>35443.199999999997</v>
      </c>
      <c r="J992" s="1">
        <v>72000</v>
      </c>
      <c r="K992" s="1">
        <v>35443.199999999997</v>
      </c>
    </row>
    <row r="993" spans="1:11" x14ac:dyDescent="0.35">
      <c r="A993">
        <v>742118</v>
      </c>
      <c r="B993">
        <v>2005527</v>
      </c>
      <c r="C993" t="str">
        <f>"LA FERIA INDEP SCHOOL DISTRICT"</f>
        <v>LA FERIA INDEP SCHOOL DISTRICT</v>
      </c>
      <c r="D993" t="s">
        <v>11</v>
      </c>
      <c r="E993" t="s">
        <v>833</v>
      </c>
      <c r="F993" t="s">
        <v>834</v>
      </c>
      <c r="G993">
        <v>78559</v>
      </c>
      <c r="H993">
        <v>2010</v>
      </c>
      <c r="I993" s="1">
        <v>39150</v>
      </c>
      <c r="J993" s="1">
        <v>43500</v>
      </c>
      <c r="K993" s="1">
        <v>39150</v>
      </c>
    </row>
    <row r="994" spans="1:11" x14ac:dyDescent="0.35">
      <c r="A994">
        <v>742118</v>
      </c>
      <c r="B994">
        <v>2005552</v>
      </c>
      <c r="C994" t="str">
        <f>"LA FERIA INDEP SCHOOL DISTRICT"</f>
        <v>LA FERIA INDEP SCHOOL DISTRICT</v>
      </c>
      <c r="D994" t="s">
        <v>11</v>
      </c>
      <c r="E994" t="s">
        <v>833</v>
      </c>
      <c r="F994" t="s">
        <v>834</v>
      </c>
      <c r="G994">
        <v>78559</v>
      </c>
      <c r="H994">
        <v>2010</v>
      </c>
      <c r="I994" s="1">
        <v>6037.2</v>
      </c>
      <c r="J994" s="1">
        <v>6708</v>
      </c>
    </row>
    <row r="995" spans="1:11" x14ac:dyDescent="0.35">
      <c r="A995">
        <v>742118</v>
      </c>
      <c r="B995">
        <v>2005594</v>
      </c>
      <c r="C995" t="str">
        <f>"LA FERIA INDEP SCHOOL DISTRICT"</f>
        <v>LA FERIA INDEP SCHOOL DISTRICT</v>
      </c>
      <c r="D995" t="s">
        <v>11</v>
      </c>
      <c r="E995" t="s">
        <v>833</v>
      </c>
      <c r="F995" t="s">
        <v>834</v>
      </c>
      <c r="G995">
        <v>78559</v>
      </c>
      <c r="H995">
        <v>2010</v>
      </c>
      <c r="I995" s="1">
        <v>6930.04</v>
      </c>
      <c r="J995" s="1">
        <v>7700.04</v>
      </c>
      <c r="K995" s="1">
        <v>6930</v>
      </c>
    </row>
    <row r="996" spans="1:11" x14ac:dyDescent="0.35">
      <c r="A996">
        <v>762275</v>
      </c>
      <c r="B996">
        <v>2059211</v>
      </c>
      <c r="C996" t="str">
        <f>"LA GLORIA INDEP SCHOOL DIST"</f>
        <v>LA GLORIA INDEP SCHOOL DIST</v>
      </c>
      <c r="D996" t="s">
        <v>11</v>
      </c>
      <c r="E996" t="s">
        <v>835</v>
      </c>
      <c r="F996" t="s">
        <v>192</v>
      </c>
      <c r="G996">
        <v>78355</v>
      </c>
      <c r="H996">
        <v>2010</v>
      </c>
      <c r="I996" s="1">
        <v>10682.88</v>
      </c>
      <c r="J996" s="1">
        <v>13353.6</v>
      </c>
      <c r="K996" s="1">
        <v>10682.82</v>
      </c>
    </row>
    <row r="997" spans="1:11" x14ac:dyDescent="0.35">
      <c r="A997">
        <v>740892</v>
      </c>
      <c r="B997">
        <v>2000931</v>
      </c>
      <c r="C997" t="str">
        <f>"LA GRANGE INDEPENDENT SCHOOL DISTRICT"</f>
        <v>LA GRANGE INDEPENDENT SCHOOL DISTRICT</v>
      </c>
      <c r="D997" t="s">
        <v>11</v>
      </c>
      <c r="E997" t="s">
        <v>836</v>
      </c>
      <c r="F997" t="s">
        <v>837</v>
      </c>
      <c r="G997">
        <v>78945</v>
      </c>
      <c r="H997">
        <v>2010</v>
      </c>
      <c r="I997" s="1">
        <v>41196.36</v>
      </c>
      <c r="J997" s="1">
        <v>54928.480000000003</v>
      </c>
      <c r="K997" s="1">
        <v>41196.36</v>
      </c>
    </row>
    <row r="998" spans="1:11" x14ac:dyDescent="0.35">
      <c r="A998">
        <v>757434</v>
      </c>
      <c r="B998">
        <v>2046743</v>
      </c>
      <c r="C998" t="str">
        <f>"LA JOYA INDEP SCHOOL DISTRICT"</f>
        <v>LA JOYA INDEP SCHOOL DISTRICT</v>
      </c>
      <c r="D998" t="s">
        <v>11</v>
      </c>
      <c r="E998" t="s">
        <v>838</v>
      </c>
      <c r="F998" t="s">
        <v>839</v>
      </c>
      <c r="G998">
        <v>78560</v>
      </c>
      <c r="H998">
        <v>2010</v>
      </c>
      <c r="I998" s="1">
        <v>53838</v>
      </c>
      <c r="J998" s="1">
        <v>59820</v>
      </c>
      <c r="K998" s="1">
        <v>53838</v>
      </c>
    </row>
    <row r="999" spans="1:11" x14ac:dyDescent="0.35">
      <c r="A999">
        <v>742030</v>
      </c>
      <c r="B999">
        <v>2003422</v>
      </c>
      <c r="C999" t="str">
        <f>"LA JOYA INDEP SCHOOL DISTRICT"</f>
        <v>LA JOYA INDEP SCHOOL DISTRICT</v>
      </c>
      <c r="D999" t="s">
        <v>11</v>
      </c>
      <c r="E999" t="s">
        <v>838</v>
      </c>
      <c r="F999" t="s">
        <v>839</v>
      </c>
      <c r="G999">
        <v>78560</v>
      </c>
      <c r="H999">
        <v>2010</v>
      </c>
      <c r="I999" s="1">
        <v>31680</v>
      </c>
      <c r="J999" s="1">
        <v>38400</v>
      </c>
      <c r="K999" s="1">
        <v>31680</v>
      </c>
    </row>
    <row r="1000" spans="1:11" x14ac:dyDescent="0.35">
      <c r="A1000">
        <v>745918</v>
      </c>
      <c r="B1000">
        <v>2013287</v>
      </c>
      <c r="C1000" t="str">
        <f>"LA JOYA INDEP SCHOOL DISTRICT"</f>
        <v>LA JOYA INDEP SCHOOL DISTRICT</v>
      </c>
      <c r="D1000" t="s">
        <v>11</v>
      </c>
      <c r="E1000" t="s">
        <v>838</v>
      </c>
      <c r="F1000" t="s">
        <v>839</v>
      </c>
      <c r="G1000">
        <v>78560</v>
      </c>
      <c r="H1000">
        <v>2010</v>
      </c>
      <c r="I1000" s="1">
        <v>0</v>
      </c>
      <c r="J1000" s="1">
        <v>0</v>
      </c>
    </row>
    <row r="1001" spans="1:11" x14ac:dyDescent="0.35">
      <c r="A1001">
        <v>724439</v>
      </c>
      <c r="B1001">
        <v>2048258</v>
      </c>
      <c r="C1001" t="str">
        <f>"LA PORTE INDEP SCHOOL DISTRICT"</f>
        <v>LA PORTE INDEP SCHOOL DISTRICT</v>
      </c>
      <c r="D1001" t="s">
        <v>11</v>
      </c>
      <c r="E1001" t="s">
        <v>840</v>
      </c>
      <c r="F1001" t="s">
        <v>841</v>
      </c>
      <c r="G1001">
        <v>77571</v>
      </c>
      <c r="H1001">
        <v>2010</v>
      </c>
      <c r="I1001" s="1">
        <v>6344</v>
      </c>
      <c r="J1001" s="1">
        <v>10400</v>
      </c>
      <c r="K1001" s="1">
        <v>6344</v>
      </c>
    </row>
    <row r="1002" spans="1:11" x14ac:dyDescent="0.35">
      <c r="A1002">
        <v>761450</v>
      </c>
      <c r="B1002">
        <v>2066089</v>
      </c>
      <c r="C1002" t="str">
        <f>"LA POYNOR INDEP SCHOOL DIST"</f>
        <v>LA POYNOR INDEP SCHOOL DIST</v>
      </c>
      <c r="D1002" t="s">
        <v>11</v>
      </c>
      <c r="E1002" t="s">
        <v>842</v>
      </c>
      <c r="F1002" t="s">
        <v>843</v>
      </c>
      <c r="G1002">
        <v>75770</v>
      </c>
      <c r="H1002">
        <v>2010</v>
      </c>
      <c r="I1002" s="1">
        <v>6375</v>
      </c>
      <c r="J1002" s="1">
        <v>8500</v>
      </c>
      <c r="K1002" s="1">
        <v>2700</v>
      </c>
    </row>
    <row r="1003" spans="1:11" x14ac:dyDescent="0.35">
      <c r="A1003">
        <v>754290</v>
      </c>
      <c r="B1003">
        <v>2071845</v>
      </c>
      <c r="C1003" t="str">
        <f>"LA PRYOR INDEP SCHOOL DISTRICT"</f>
        <v>LA PRYOR INDEP SCHOOL DISTRICT</v>
      </c>
      <c r="D1003" t="s">
        <v>11</v>
      </c>
      <c r="E1003" t="s">
        <v>844</v>
      </c>
      <c r="F1003" t="s">
        <v>845</v>
      </c>
      <c r="G1003">
        <v>78872</v>
      </c>
      <c r="H1003">
        <v>2010</v>
      </c>
      <c r="I1003" s="1">
        <v>1194.26</v>
      </c>
      <c r="J1003" s="1">
        <v>1326.96</v>
      </c>
      <c r="K1003" s="1">
        <v>1194.26</v>
      </c>
    </row>
    <row r="1004" spans="1:11" x14ac:dyDescent="0.35">
      <c r="A1004">
        <v>754290</v>
      </c>
      <c r="B1004">
        <v>2074868</v>
      </c>
      <c r="C1004" t="str">
        <f>"LA PRYOR INDEP SCHOOL DISTRICT"</f>
        <v>LA PRYOR INDEP SCHOOL DISTRICT</v>
      </c>
      <c r="D1004" t="s">
        <v>11</v>
      </c>
      <c r="E1004" t="s">
        <v>844</v>
      </c>
      <c r="F1004" t="s">
        <v>845</v>
      </c>
      <c r="G1004">
        <v>78872</v>
      </c>
      <c r="H1004">
        <v>2010</v>
      </c>
      <c r="I1004" s="1">
        <v>38326.93</v>
      </c>
      <c r="J1004" s="1">
        <v>42585.48</v>
      </c>
      <c r="K1004" s="1">
        <v>35058.76</v>
      </c>
    </row>
    <row r="1005" spans="1:11" x14ac:dyDescent="0.35">
      <c r="A1005">
        <v>754290</v>
      </c>
      <c r="B1005">
        <v>2071878</v>
      </c>
      <c r="C1005" t="str">
        <f>"LA PRYOR INDEP SCHOOL DISTRICT"</f>
        <v>LA PRYOR INDEP SCHOOL DISTRICT</v>
      </c>
      <c r="D1005" t="s">
        <v>11</v>
      </c>
      <c r="E1005" t="s">
        <v>844</v>
      </c>
      <c r="F1005" t="s">
        <v>845</v>
      </c>
      <c r="G1005">
        <v>78872</v>
      </c>
      <c r="H1005">
        <v>2010</v>
      </c>
      <c r="I1005" s="1">
        <v>1940.98</v>
      </c>
      <c r="J1005" s="1">
        <v>2156.64</v>
      </c>
    </row>
    <row r="1006" spans="1:11" x14ac:dyDescent="0.35">
      <c r="A1006">
        <v>723787</v>
      </c>
      <c r="B1006">
        <v>1961250</v>
      </c>
      <c r="C1006" t="str">
        <f>"LA VEGA INDEP SCHOOL DISTRICT"</f>
        <v>LA VEGA INDEP SCHOOL DISTRICT</v>
      </c>
      <c r="D1006" t="s">
        <v>11</v>
      </c>
      <c r="E1006" t="s">
        <v>846</v>
      </c>
      <c r="F1006" t="s">
        <v>303</v>
      </c>
      <c r="G1006">
        <v>76705</v>
      </c>
      <c r="H1006">
        <v>2010</v>
      </c>
      <c r="I1006" s="1">
        <v>5146.05</v>
      </c>
      <c r="J1006" s="1">
        <v>5915</v>
      </c>
      <c r="K1006" s="1">
        <v>5146.05</v>
      </c>
    </row>
    <row r="1007" spans="1:11" x14ac:dyDescent="0.35">
      <c r="A1007">
        <v>723465</v>
      </c>
      <c r="B1007">
        <v>1960863</v>
      </c>
      <c r="C1007" t="str">
        <f>"LA VEGA INDEP SCHOOL DISTRICT"</f>
        <v>LA VEGA INDEP SCHOOL DISTRICT</v>
      </c>
      <c r="D1007" t="s">
        <v>11</v>
      </c>
      <c r="E1007" t="s">
        <v>846</v>
      </c>
      <c r="F1007" t="s">
        <v>303</v>
      </c>
      <c r="G1007">
        <v>76705</v>
      </c>
      <c r="H1007">
        <v>2010</v>
      </c>
      <c r="I1007" s="1">
        <v>9918</v>
      </c>
      <c r="J1007" s="1">
        <v>11400</v>
      </c>
      <c r="K1007" s="1">
        <v>9918</v>
      </c>
    </row>
    <row r="1008" spans="1:11" x14ac:dyDescent="0.35">
      <c r="A1008">
        <v>743284</v>
      </c>
      <c r="B1008">
        <v>2062508</v>
      </c>
      <c r="C1008" t="str">
        <f t="shared" ref="C1008:C1013" si="14">"LA VERNIA INDEP SCHOOL DIST"</f>
        <v>LA VERNIA INDEP SCHOOL DIST</v>
      </c>
      <c r="D1008" t="s">
        <v>11</v>
      </c>
      <c r="E1008" t="s">
        <v>847</v>
      </c>
      <c r="F1008" t="s">
        <v>848</v>
      </c>
      <c r="G1008">
        <v>78121</v>
      </c>
      <c r="H1008">
        <v>2010</v>
      </c>
      <c r="I1008" s="1">
        <v>2184</v>
      </c>
      <c r="J1008" s="1">
        <v>4200</v>
      </c>
      <c r="K1008" s="1">
        <v>2184</v>
      </c>
    </row>
    <row r="1009" spans="1:11" x14ac:dyDescent="0.35">
      <c r="A1009">
        <v>743284</v>
      </c>
      <c r="B1009">
        <v>2062333</v>
      </c>
      <c r="C1009" t="str">
        <f t="shared" si="14"/>
        <v>LA VERNIA INDEP SCHOOL DIST</v>
      </c>
      <c r="D1009" t="s">
        <v>11</v>
      </c>
      <c r="E1009" t="s">
        <v>847</v>
      </c>
      <c r="F1009" t="s">
        <v>848</v>
      </c>
      <c r="G1009">
        <v>78121</v>
      </c>
      <c r="H1009">
        <v>2010</v>
      </c>
      <c r="I1009" s="1">
        <v>3018.83</v>
      </c>
      <c r="J1009" s="1">
        <v>5805.45</v>
      </c>
      <c r="K1009" s="1">
        <v>3018.83</v>
      </c>
    </row>
    <row r="1010" spans="1:11" x14ac:dyDescent="0.35">
      <c r="A1010">
        <v>743284</v>
      </c>
      <c r="B1010">
        <v>2062524</v>
      </c>
      <c r="C1010" t="str">
        <f t="shared" si="14"/>
        <v>LA VERNIA INDEP SCHOOL DIST</v>
      </c>
      <c r="D1010" t="s">
        <v>11</v>
      </c>
      <c r="E1010" t="s">
        <v>847</v>
      </c>
      <c r="F1010" t="s">
        <v>848</v>
      </c>
      <c r="G1010">
        <v>78121</v>
      </c>
      <c r="H1010">
        <v>2010</v>
      </c>
      <c r="I1010" s="1">
        <v>1248</v>
      </c>
      <c r="J1010" s="1">
        <v>2400</v>
      </c>
      <c r="K1010" s="1">
        <v>1248</v>
      </c>
    </row>
    <row r="1011" spans="1:11" x14ac:dyDescent="0.35">
      <c r="A1011">
        <v>743284</v>
      </c>
      <c r="B1011">
        <v>2062405</v>
      </c>
      <c r="C1011" t="str">
        <f t="shared" si="14"/>
        <v>LA VERNIA INDEP SCHOOL DIST</v>
      </c>
      <c r="D1011" t="s">
        <v>11</v>
      </c>
      <c r="E1011" t="s">
        <v>847</v>
      </c>
      <c r="F1011" t="s">
        <v>848</v>
      </c>
      <c r="G1011">
        <v>78121</v>
      </c>
      <c r="H1011">
        <v>2010</v>
      </c>
      <c r="I1011" s="1">
        <v>20529.599999999999</v>
      </c>
      <c r="J1011" s="1">
        <v>39480</v>
      </c>
      <c r="K1011" s="1">
        <v>0</v>
      </c>
    </row>
    <row r="1012" spans="1:11" x14ac:dyDescent="0.35">
      <c r="A1012">
        <v>743284</v>
      </c>
      <c r="B1012">
        <v>2062380</v>
      </c>
      <c r="C1012" t="str">
        <f t="shared" si="14"/>
        <v>LA VERNIA INDEP SCHOOL DIST</v>
      </c>
      <c r="D1012" t="s">
        <v>11</v>
      </c>
      <c r="E1012" t="s">
        <v>847</v>
      </c>
      <c r="F1012" t="s">
        <v>848</v>
      </c>
      <c r="G1012">
        <v>78121</v>
      </c>
      <c r="H1012">
        <v>2010</v>
      </c>
      <c r="I1012" s="1">
        <v>1747.2</v>
      </c>
      <c r="J1012" s="1">
        <v>3360</v>
      </c>
      <c r="K1012" s="1">
        <v>0</v>
      </c>
    </row>
    <row r="1013" spans="1:11" x14ac:dyDescent="0.35">
      <c r="A1013">
        <v>743284</v>
      </c>
      <c r="B1013">
        <v>2062614</v>
      </c>
      <c r="C1013" t="str">
        <f t="shared" si="14"/>
        <v>LA VERNIA INDEP SCHOOL DIST</v>
      </c>
      <c r="D1013" t="s">
        <v>11</v>
      </c>
      <c r="E1013" t="s">
        <v>847</v>
      </c>
      <c r="F1013" t="s">
        <v>848</v>
      </c>
      <c r="G1013">
        <v>78121</v>
      </c>
      <c r="H1013">
        <v>2010</v>
      </c>
      <c r="I1013" s="1">
        <v>6359.5</v>
      </c>
      <c r="J1013" s="1">
        <v>12229.8</v>
      </c>
      <c r="K1013" s="1">
        <v>0</v>
      </c>
    </row>
    <row r="1014" spans="1:11" x14ac:dyDescent="0.35">
      <c r="A1014">
        <v>765515</v>
      </c>
      <c r="B1014">
        <v>2071853</v>
      </c>
      <c r="C1014" t="str">
        <f>"LA VILLA INDEP SCHOOL DISTRICT"</f>
        <v>LA VILLA INDEP SCHOOL DISTRICT</v>
      </c>
      <c r="D1014" t="s">
        <v>11</v>
      </c>
      <c r="E1014" t="s">
        <v>849</v>
      </c>
      <c r="F1014" t="s">
        <v>850</v>
      </c>
      <c r="G1014">
        <v>78562</v>
      </c>
      <c r="H1014">
        <v>2010</v>
      </c>
      <c r="I1014" s="1">
        <v>742.5</v>
      </c>
      <c r="J1014" s="1">
        <v>825</v>
      </c>
      <c r="K1014" s="1">
        <v>742.5</v>
      </c>
    </row>
    <row r="1015" spans="1:11" x14ac:dyDescent="0.35">
      <c r="A1015">
        <v>765515</v>
      </c>
      <c r="B1015">
        <v>2071581</v>
      </c>
      <c r="C1015" t="str">
        <f>"LA VILLA INDEP SCHOOL DISTRICT"</f>
        <v>LA VILLA INDEP SCHOOL DISTRICT</v>
      </c>
      <c r="D1015" t="s">
        <v>11</v>
      </c>
      <c r="E1015" t="s">
        <v>849</v>
      </c>
      <c r="F1015" t="s">
        <v>850</v>
      </c>
      <c r="G1015">
        <v>78562</v>
      </c>
      <c r="H1015">
        <v>2010</v>
      </c>
      <c r="I1015" s="1">
        <v>11426.4</v>
      </c>
      <c r="J1015" s="1">
        <v>12696</v>
      </c>
      <c r="K1015" s="1">
        <v>11426.4</v>
      </c>
    </row>
    <row r="1016" spans="1:11" x14ac:dyDescent="0.35">
      <c r="A1016">
        <v>765515</v>
      </c>
      <c r="B1016">
        <v>2071746</v>
      </c>
      <c r="C1016" t="str">
        <f>"LA VILLA INDEP SCHOOL DISTRICT"</f>
        <v>LA VILLA INDEP SCHOOL DISTRICT</v>
      </c>
      <c r="D1016" t="s">
        <v>11</v>
      </c>
      <c r="E1016" t="s">
        <v>849</v>
      </c>
      <c r="F1016" t="s">
        <v>850</v>
      </c>
      <c r="G1016">
        <v>78562</v>
      </c>
      <c r="H1016">
        <v>2010</v>
      </c>
      <c r="I1016" s="1">
        <v>746.39</v>
      </c>
      <c r="J1016" s="1">
        <v>829.32</v>
      </c>
      <c r="K1016" s="1">
        <v>746.39</v>
      </c>
    </row>
    <row r="1017" spans="1:11" x14ac:dyDescent="0.35">
      <c r="A1017">
        <v>763961</v>
      </c>
      <c r="B1017">
        <v>2065040</v>
      </c>
      <c r="C1017" t="str">
        <f>"LACKLAND INDEP SCHOOL DISTRICT"</f>
        <v>LACKLAND INDEP SCHOOL DISTRICT</v>
      </c>
      <c r="D1017" t="s">
        <v>11</v>
      </c>
      <c r="E1017" t="s">
        <v>851</v>
      </c>
      <c r="F1017" t="s">
        <v>25</v>
      </c>
      <c r="G1017">
        <v>78236</v>
      </c>
      <c r="H1017">
        <v>2010</v>
      </c>
      <c r="I1017" s="1">
        <v>3726</v>
      </c>
      <c r="J1017" s="1">
        <v>7452</v>
      </c>
      <c r="K1017" s="1">
        <v>3726</v>
      </c>
    </row>
    <row r="1018" spans="1:11" x14ac:dyDescent="0.35">
      <c r="A1018">
        <v>763961</v>
      </c>
      <c r="B1018">
        <v>2066188</v>
      </c>
      <c r="C1018" t="str">
        <f>"LACKLAND INDEP SCHOOL DISTRICT"</f>
        <v>LACKLAND INDEP SCHOOL DISTRICT</v>
      </c>
      <c r="D1018" t="s">
        <v>11</v>
      </c>
      <c r="E1018" t="s">
        <v>851</v>
      </c>
      <c r="F1018" t="s">
        <v>25</v>
      </c>
      <c r="G1018">
        <v>78236</v>
      </c>
      <c r="H1018">
        <v>2010</v>
      </c>
      <c r="I1018" s="1">
        <v>1233.06</v>
      </c>
      <c r="J1018" s="1">
        <v>2466.12</v>
      </c>
      <c r="K1018" s="1">
        <v>1233.06</v>
      </c>
    </row>
    <row r="1019" spans="1:11" x14ac:dyDescent="0.35">
      <c r="A1019">
        <v>763961</v>
      </c>
      <c r="B1019">
        <v>2066070</v>
      </c>
      <c r="C1019" t="str">
        <f>"LACKLAND INDEP SCHOOL DISTRICT"</f>
        <v>LACKLAND INDEP SCHOOL DISTRICT</v>
      </c>
      <c r="D1019" t="s">
        <v>11</v>
      </c>
      <c r="E1019" t="s">
        <v>851</v>
      </c>
      <c r="F1019" t="s">
        <v>25</v>
      </c>
      <c r="G1019">
        <v>78236</v>
      </c>
      <c r="H1019">
        <v>2010</v>
      </c>
      <c r="I1019" s="1">
        <v>6069.84</v>
      </c>
      <c r="J1019" s="1">
        <v>12139.68</v>
      </c>
      <c r="K1019" s="1">
        <v>6069.84</v>
      </c>
    </row>
    <row r="1020" spans="1:11" x14ac:dyDescent="0.35">
      <c r="A1020">
        <v>724027</v>
      </c>
      <c r="B1020">
        <v>1961543</v>
      </c>
      <c r="C1020" t="str">
        <f>"LAGO VISTA INDEP SCH DISTRICT"</f>
        <v>LAGO VISTA INDEP SCH DISTRICT</v>
      </c>
      <c r="D1020" t="s">
        <v>11</v>
      </c>
      <c r="E1020" t="s">
        <v>852</v>
      </c>
      <c r="F1020" t="s">
        <v>853</v>
      </c>
      <c r="G1020">
        <v>78645</v>
      </c>
      <c r="H1020">
        <v>2010</v>
      </c>
      <c r="I1020" s="1">
        <v>14400</v>
      </c>
      <c r="J1020" s="1">
        <v>28800</v>
      </c>
      <c r="K1020" s="1">
        <v>12900</v>
      </c>
    </row>
    <row r="1021" spans="1:11" x14ac:dyDescent="0.35">
      <c r="A1021">
        <v>718852</v>
      </c>
      <c r="B1021">
        <v>1987406</v>
      </c>
      <c r="C1021" t="str">
        <f>"LAKE DALLAS INDEP SCH DISTRICT"</f>
        <v>LAKE DALLAS INDEP SCH DISTRICT</v>
      </c>
      <c r="D1021" t="s">
        <v>11</v>
      </c>
      <c r="E1021" t="s">
        <v>854</v>
      </c>
      <c r="F1021" t="s">
        <v>855</v>
      </c>
      <c r="G1021">
        <v>75065</v>
      </c>
      <c r="H1021">
        <v>2010</v>
      </c>
      <c r="I1021" s="1">
        <v>14820</v>
      </c>
      <c r="J1021" s="1">
        <v>28500</v>
      </c>
      <c r="K1021" s="1">
        <v>14820</v>
      </c>
    </row>
    <row r="1022" spans="1:11" x14ac:dyDescent="0.35">
      <c r="A1022">
        <v>718852</v>
      </c>
      <c r="B1022">
        <v>2021273</v>
      </c>
      <c r="C1022" t="str">
        <f>"LAKE DALLAS INDEP SCH DISTRICT"</f>
        <v>LAKE DALLAS INDEP SCH DISTRICT</v>
      </c>
      <c r="D1022" t="s">
        <v>11</v>
      </c>
      <c r="E1022" t="s">
        <v>854</v>
      </c>
      <c r="F1022" t="s">
        <v>855</v>
      </c>
      <c r="G1022">
        <v>75065</v>
      </c>
      <c r="H1022">
        <v>2010</v>
      </c>
      <c r="I1022" s="1">
        <v>1428.86</v>
      </c>
      <c r="J1022" s="1">
        <v>3498.71</v>
      </c>
      <c r="K1022" s="1">
        <v>1428.86</v>
      </c>
    </row>
    <row r="1023" spans="1:11" x14ac:dyDescent="0.35">
      <c r="A1023">
        <v>718852</v>
      </c>
      <c r="B1023">
        <v>1987414</v>
      </c>
      <c r="C1023" t="str">
        <f>"LAKE DALLAS INDEP SCH DISTRICT"</f>
        <v>LAKE DALLAS INDEP SCH DISTRICT</v>
      </c>
      <c r="D1023" t="s">
        <v>11</v>
      </c>
      <c r="E1023" t="s">
        <v>854</v>
      </c>
      <c r="F1023" t="s">
        <v>855</v>
      </c>
      <c r="G1023">
        <v>75065</v>
      </c>
      <c r="H1023">
        <v>2010</v>
      </c>
      <c r="I1023" s="1">
        <v>4638.3999999999996</v>
      </c>
      <c r="J1023" s="1">
        <v>8920</v>
      </c>
      <c r="K1023" s="1">
        <v>4638.3999999999996</v>
      </c>
    </row>
    <row r="1024" spans="1:11" x14ac:dyDescent="0.35">
      <c r="A1024">
        <v>750196</v>
      </c>
      <c r="B1024">
        <v>2031019</v>
      </c>
      <c r="C1024" t="str">
        <f>"LAKE TRAVIS INDEP SCH DISTRICT"</f>
        <v>LAKE TRAVIS INDEP SCH DISTRICT</v>
      </c>
      <c r="D1024" t="s">
        <v>11</v>
      </c>
      <c r="E1024" t="s">
        <v>856</v>
      </c>
      <c r="F1024" t="s">
        <v>83</v>
      </c>
      <c r="G1024">
        <v>78738</v>
      </c>
      <c r="H1024">
        <v>2010</v>
      </c>
      <c r="I1024" s="1">
        <v>5280</v>
      </c>
      <c r="J1024" s="1">
        <v>12000</v>
      </c>
      <c r="K1024" s="1">
        <v>4994.9399999999996</v>
      </c>
    </row>
    <row r="1025" spans="1:11" x14ac:dyDescent="0.35">
      <c r="A1025">
        <v>750196</v>
      </c>
      <c r="B1025">
        <v>2031253</v>
      </c>
      <c r="C1025" t="str">
        <f>"LAKE TRAVIS INDEP SCH DISTRICT"</f>
        <v>LAKE TRAVIS INDEP SCH DISTRICT</v>
      </c>
      <c r="D1025" t="s">
        <v>11</v>
      </c>
      <c r="E1025" t="s">
        <v>856</v>
      </c>
      <c r="F1025" t="s">
        <v>83</v>
      </c>
      <c r="G1025">
        <v>78738</v>
      </c>
      <c r="H1025">
        <v>2010</v>
      </c>
      <c r="I1025" s="1">
        <v>5280</v>
      </c>
      <c r="J1025" s="1">
        <v>12000</v>
      </c>
      <c r="K1025" s="1">
        <v>1826.62</v>
      </c>
    </row>
    <row r="1026" spans="1:11" x14ac:dyDescent="0.35">
      <c r="A1026">
        <v>750196</v>
      </c>
      <c r="B1026">
        <v>2029815</v>
      </c>
      <c r="C1026" t="str">
        <f>"LAKE TRAVIS INDEP SCH DISTRICT"</f>
        <v>LAKE TRAVIS INDEP SCH DISTRICT</v>
      </c>
      <c r="D1026" t="s">
        <v>11</v>
      </c>
      <c r="E1026" t="s">
        <v>856</v>
      </c>
      <c r="F1026" t="s">
        <v>83</v>
      </c>
      <c r="G1026">
        <v>78738</v>
      </c>
      <c r="H1026">
        <v>2010</v>
      </c>
      <c r="I1026" s="1">
        <v>18480</v>
      </c>
      <c r="J1026" s="1">
        <v>42000</v>
      </c>
    </row>
    <row r="1027" spans="1:11" x14ac:dyDescent="0.35">
      <c r="A1027">
        <v>750196</v>
      </c>
      <c r="B1027">
        <v>2029983</v>
      </c>
      <c r="C1027" t="str">
        <f>"LAKE TRAVIS INDEP SCH DISTRICT"</f>
        <v>LAKE TRAVIS INDEP SCH DISTRICT</v>
      </c>
      <c r="D1027" t="s">
        <v>11</v>
      </c>
      <c r="E1027" t="s">
        <v>856</v>
      </c>
      <c r="F1027" t="s">
        <v>83</v>
      </c>
      <c r="G1027">
        <v>78738</v>
      </c>
      <c r="H1027">
        <v>2010</v>
      </c>
      <c r="I1027" s="1">
        <v>6543.08</v>
      </c>
      <c r="J1027" s="1">
        <v>14870.64</v>
      </c>
    </row>
    <row r="1028" spans="1:11" x14ac:dyDescent="0.35">
      <c r="A1028">
        <v>750196</v>
      </c>
      <c r="B1028">
        <v>2031368</v>
      </c>
      <c r="C1028" t="str">
        <f>"LAKE TRAVIS INDEP SCH DISTRICT"</f>
        <v>LAKE TRAVIS INDEP SCH DISTRICT</v>
      </c>
      <c r="D1028" t="s">
        <v>11</v>
      </c>
      <c r="E1028" t="s">
        <v>856</v>
      </c>
      <c r="F1028" t="s">
        <v>83</v>
      </c>
      <c r="G1028">
        <v>78738</v>
      </c>
      <c r="H1028">
        <v>2010</v>
      </c>
      <c r="I1028" s="1">
        <v>1056</v>
      </c>
      <c r="J1028" s="1">
        <v>2400</v>
      </c>
    </row>
    <row r="1029" spans="1:11" x14ac:dyDescent="0.35">
      <c r="A1029">
        <v>740382</v>
      </c>
      <c r="B1029">
        <v>2010045</v>
      </c>
      <c r="C1029" t="str">
        <f>"LAKE WORTH INDEP SCH DISTRICT"</f>
        <v>LAKE WORTH INDEP SCH DISTRICT</v>
      </c>
      <c r="D1029" t="s">
        <v>11</v>
      </c>
      <c r="E1029" t="s">
        <v>857</v>
      </c>
      <c r="F1029" t="s">
        <v>262</v>
      </c>
      <c r="G1029">
        <v>76135</v>
      </c>
      <c r="H1029">
        <v>2010</v>
      </c>
      <c r="I1029" s="1">
        <v>0</v>
      </c>
      <c r="J1029" s="1">
        <v>0</v>
      </c>
    </row>
    <row r="1030" spans="1:11" x14ac:dyDescent="0.35">
      <c r="A1030">
        <v>719914</v>
      </c>
      <c r="B1030">
        <v>1983829</v>
      </c>
      <c r="C1030" t="str">
        <f>"LAKE WORTH INDEP SCH DISTRICT"</f>
        <v>LAKE WORTH INDEP SCH DISTRICT</v>
      </c>
      <c r="D1030" t="s">
        <v>11</v>
      </c>
      <c r="E1030" t="s">
        <v>857</v>
      </c>
      <c r="F1030" t="s">
        <v>262</v>
      </c>
      <c r="G1030">
        <v>76135</v>
      </c>
      <c r="H1030">
        <v>2010</v>
      </c>
      <c r="I1030" s="1">
        <v>5854.8</v>
      </c>
      <c r="J1030" s="1">
        <v>7140</v>
      </c>
      <c r="K1030" s="1">
        <v>5854.8</v>
      </c>
    </row>
    <row r="1031" spans="1:11" x14ac:dyDescent="0.35">
      <c r="A1031">
        <v>719914</v>
      </c>
      <c r="B1031">
        <v>1983798</v>
      </c>
      <c r="C1031" t="str">
        <f>"LAKE WORTH INDEP SCH DISTRICT"</f>
        <v>LAKE WORTH INDEP SCH DISTRICT</v>
      </c>
      <c r="D1031" t="s">
        <v>11</v>
      </c>
      <c r="E1031" t="s">
        <v>857</v>
      </c>
      <c r="F1031" t="s">
        <v>262</v>
      </c>
      <c r="G1031">
        <v>76135</v>
      </c>
      <c r="H1031">
        <v>2010</v>
      </c>
      <c r="I1031" s="1">
        <v>23116.400000000001</v>
      </c>
      <c r="J1031" s="1">
        <v>28190.73</v>
      </c>
      <c r="K1031" s="1">
        <v>23116.400000000001</v>
      </c>
    </row>
    <row r="1032" spans="1:11" x14ac:dyDescent="0.35">
      <c r="A1032">
        <v>750446</v>
      </c>
      <c r="B1032">
        <v>2066304</v>
      </c>
      <c r="C1032" t="str">
        <f t="shared" ref="C1032:C1037" si="15">"LAMAR CONS INDEP SCHOOL DIST"</f>
        <v>LAMAR CONS INDEP SCHOOL DIST</v>
      </c>
      <c r="D1032" t="s">
        <v>11</v>
      </c>
      <c r="E1032" t="s">
        <v>858</v>
      </c>
      <c r="F1032" t="s">
        <v>859</v>
      </c>
      <c r="G1032">
        <v>77471</v>
      </c>
      <c r="H1032">
        <v>2010</v>
      </c>
      <c r="I1032" s="1">
        <v>0</v>
      </c>
      <c r="J1032" s="1">
        <v>0</v>
      </c>
    </row>
    <row r="1033" spans="1:11" x14ac:dyDescent="0.35">
      <c r="A1033">
        <v>750446</v>
      </c>
      <c r="B1033">
        <v>2065250</v>
      </c>
      <c r="C1033" t="str">
        <f t="shared" si="15"/>
        <v>LAMAR CONS INDEP SCHOOL DIST</v>
      </c>
      <c r="D1033" t="s">
        <v>11</v>
      </c>
      <c r="E1033" t="s">
        <v>858</v>
      </c>
      <c r="F1033" t="s">
        <v>859</v>
      </c>
      <c r="G1033">
        <v>77471</v>
      </c>
      <c r="H1033">
        <v>2010</v>
      </c>
      <c r="I1033" s="1">
        <v>0</v>
      </c>
      <c r="J1033" s="1">
        <v>0</v>
      </c>
    </row>
    <row r="1034" spans="1:11" x14ac:dyDescent="0.35">
      <c r="A1034">
        <v>750446</v>
      </c>
      <c r="B1034">
        <v>2065433</v>
      </c>
      <c r="C1034" t="str">
        <f t="shared" si="15"/>
        <v>LAMAR CONS INDEP SCHOOL DIST</v>
      </c>
      <c r="D1034" t="s">
        <v>11</v>
      </c>
      <c r="E1034" t="s">
        <v>858</v>
      </c>
      <c r="F1034" t="s">
        <v>859</v>
      </c>
      <c r="G1034">
        <v>77471</v>
      </c>
      <c r="H1034">
        <v>2010</v>
      </c>
      <c r="I1034" s="1">
        <v>0</v>
      </c>
      <c r="J1034" s="1">
        <v>0</v>
      </c>
    </row>
    <row r="1035" spans="1:11" x14ac:dyDescent="0.35">
      <c r="A1035">
        <v>750446</v>
      </c>
      <c r="B1035">
        <v>2065281</v>
      </c>
      <c r="C1035" t="str">
        <f t="shared" si="15"/>
        <v>LAMAR CONS INDEP SCHOOL DIST</v>
      </c>
      <c r="D1035" t="s">
        <v>11</v>
      </c>
      <c r="E1035" t="s">
        <v>858</v>
      </c>
      <c r="F1035" t="s">
        <v>859</v>
      </c>
      <c r="G1035">
        <v>77471</v>
      </c>
      <c r="H1035">
        <v>2010</v>
      </c>
      <c r="I1035" s="1">
        <v>0</v>
      </c>
      <c r="J1035" s="1">
        <v>0</v>
      </c>
    </row>
    <row r="1036" spans="1:11" x14ac:dyDescent="0.35">
      <c r="A1036">
        <v>750446</v>
      </c>
      <c r="B1036">
        <v>2065347</v>
      </c>
      <c r="C1036" t="str">
        <f t="shared" si="15"/>
        <v>LAMAR CONS INDEP SCHOOL DIST</v>
      </c>
      <c r="D1036" t="s">
        <v>11</v>
      </c>
      <c r="E1036" t="s">
        <v>858</v>
      </c>
      <c r="F1036" t="s">
        <v>859</v>
      </c>
      <c r="G1036">
        <v>77471</v>
      </c>
      <c r="H1036">
        <v>2010</v>
      </c>
      <c r="I1036" s="1">
        <v>0</v>
      </c>
      <c r="J1036" s="1">
        <v>0</v>
      </c>
    </row>
    <row r="1037" spans="1:11" x14ac:dyDescent="0.35">
      <c r="A1037">
        <v>750446</v>
      </c>
      <c r="B1037">
        <v>2066356</v>
      </c>
      <c r="C1037" t="str">
        <f t="shared" si="15"/>
        <v>LAMAR CONS INDEP SCHOOL DIST</v>
      </c>
      <c r="D1037" t="s">
        <v>11</v>
      </c>
      <c r="E1037" t="s">
        <v>858</v>
      </c>
      <c r="F1037" t="s">
        <v>859</v>
      </c>
      <c r="G1037">
        <v>77471</v>
      </c>
      <c r="H1037">
        <v>2010</v>
      </c>
      <c r="I1037" s="1">
        <v>0</v>
      </c>
      <c r="J1037" s="1">
        <v>0</v>
      </c>
    </row>
    <row r="1038" spans="1:11" x14ac:dyDescent="0.35">
      <c r="A1038">
        <v>765778</v>
      </c>
      <c r="B1038">
        <v>2069937</v>
      </c>
      <c r="C1038" t="str">
        <f>"LAMESA INDEP SCHOOL DISTRICT"</f>
        <v>LAMESA INDEP SCHOOL DISTRICT</v>
      </c>
      <c r="D1038" t="s">
        <v>11</v>
      </c>
      <c r="E1038" t="s">
        <v>860</v>
      </c>
      <c r="F1038" t="s">
        <v>822</v>
      </c>
      <c r="G1038">
        <v>79331</v>
      </c>
      <c r="H1038">
        <v>2010</v>
      </c>
      <c r="I1038" s="1">
        <v>72230.399999999994</v>
      </c>
      <c r="J1038" s="1">
        <v>82080</v>
      </c>
    </row>
    <row r="1039" spans="1:11" x14ac:dyDescent="0.35">
      <c r="A1039">
        <v>728223</v>
      </c>
      <c r="B1039">
        <v>1970145</v>
      </c>
      <c r="C1039" t="str">
        <f>"LAMESA INDEP SCHOOL DISTRICT"</f>
        <v>LAMESA INDEP SCHOOL DISTRICT</v>
      </c>
      <c r="D1039" t="s">
        <v>11</v>
      </c>
      <c r="E1039" t="s">
        <v>860</v>
      </c>
      <c r="F1039" t="s">
        <v>822</v>
      </c>
      <c r="G1039">
        <v>79331</v>
      </c>
      <c r="H1039">
        <v>2010</v>
      </c>
      <c r="I1039" s="1">
        <v>6336</v>
      </c>
      <c r="J1039" s="1">
        <v>7200</v>
      </c>
    </row>
    <row r="1040" spans="1:11" x14ac:dyDescent="0.35">
      <c r="A1040">
        <v>728223</v>
      </c>
      <c r="B1040">
        <v>1970157</v>
      </c>
      <c r="C1040" t="str">
        <f>"LAMESA INDEP SCHOOL DISTRICT"</f>
        <v>LAMESA INDEP SCHOOL DISTRICT</v>
      </c>
      <c r="D1040" t="s">
        <v>11</v>
      </c>
      <c r="E1040" t="s">
        <v>860</v>
      </c>
      <c r="F1040" t="s">
        <v>822</v>
      </c>
      <c r="G1040">
        <v>79331</v>
      </c>
      <c r="H1040">
        <v>2010</v>
      </c>
      <c r="I1040" s="1">
        <v>5280</v>
      </c>
      <c r="J1040" s="1">
        <v>6000</v>
      </c>
      <c r="K1040" s="1">
        <v>880</v>
      </c>
    </row>
    <row r="1041" spans="1:11" x14ac:dyDescent="0.35">
      <c r="A1041">
        <v>751891</v>
      </c>
      <c r="B1041">
        <v>2040334</v>
      </c>
      <c r="C1041" t="str">
        <f>"LAMPASAS INDEP SCHOOL DISTRICT"</f>
        <v>LAMPASAS INDEP SCHOOL DISTRICT</v>
      </c>
      <c r="D1041" t="s">
        <v>11</v>
      </c>
      <c r="E1041" t="s">
        <v>861</v>
      </c>
      <c r="F1041" t="s">
        <v>862</v>
      </c>
      <c r="G1041">
        <v>76550</v>
      </c>
      <c r="H1041">
        <v>2010</v>
      </c>
      <c r="I1041" s="1">
        <v>21670.57</v>
      </c>
      <c r="J1041" s="1">
        <v>28143.599999999999</v>
      </c>
      <c r="K1041" s="1">
        <v>21670.5</v>
      </c>
    </row>
    <row r="1042" spans="1:11" x14ac:dyDescent="0.35">
      <c r="A1042">
        <v>751891</v>
      </c>
      <c r="B1042">
        <v>2040320</v>
      </c>
      <c r="C1042" t="str">
        <f>"LAMPASAS INDEP SCHOOL DISTRICT"</f>
        <v>LAMPASAS INDEP SCHOOL DISTRICT</v>
      </c>
      <c r="D1042" t="s">
        <v>11</v>
      </c>
      <c r="E1042" t="s">
        <v>861</v>
      </c>
      <c r="F1042" t="s">
        <v>862</v>
      </c>
      <c r="G1042">
        <v>76550</v>
      </c>
      <c r="H1042">
        <v>2010</v>
      </c>
      <c r="I1042" s="1">
        <v>12862.08</v>
      </c>
      <c r="J1042" s="1">
        <v>16704</v>
      </c>
      <c r="K1042" s="1">
        <v>12862.08</v>
      </c>
    </row>
    <row r="1043" spans="1:11" x14ac:dyDescent="0.35">
      <c r="A1043">
        <v>736344</v>
      </c>
      <c r="B1043">
        <v>2024700</v>
      </c>
      <c r="C1043" t="str">
        <f>"LANEVILLE INDEP SCHOOL DIST"</f>
        <v>LANEVILLE INDEP SCHOOL DIST</v>
      </c>
      <c r="D1043" t="s">
        <v>11</v>
      </c>
      <c r="E1043" t="s">
        <v>863</v>
      </c>
      <c r="F1043" t="s">
        <v>864</v>
      </c>
      <c r="G1043">
        <v>75667</v>
      </c>
      <c r="H1043">
        <v>2010</v>
      </c>
      <c r="I1043" s="1">
        <v>3240</v>
      </c>
      <c r="J1043" s="1">
        <v>3600</v>
      </c>
      <c r="K1043" s="1">
        <v>3240</v>
      </c>
    </row>
    <row r="1044" spans="1:11" x14ac:dyDescent="0.35">
      <c r="A1044">
        <v>751937</v>
      </c>
      <c r="B1044">
        <v>2394340</v>
      </c>
      <c r="C1044" t="str">
        <f>"LAREDO INDEP SCHOOL DISTRICT"</f>
        <v>LAREDO INDEP SCHOOL DISTRICT</v>
      </c>
      <c r="D1044" t="s">
        <v>11</v>
      </c>
      <c r="E1044" t="s">
        <v>865</v>
      </c>
      <c r="F1044" t="s">
        <v>452</v>
      </c>
      <c r="G1044">
        <v>78040</v>
      </c>
      <c r="H1044">
        <v>2010</v>
      </c>
      <c r="I1044" s="1">
        <v>112132.15</v>
      </c>
      <c r="J1044" s="1">
        <v>124591.28</v>
      </c>
      <c r="K1044" s="1">
        <v>112132.15</v>
      </c>
    </row>
    <row r="1045" spans="1:11" x14ac:dyDescent="0.35">
      <c r="A1045">
        <v>751937</v>
      </c>
      <c r="B1045">
        <v>2031798</v>
      </c>
      <c r="C1045" t="str">
        <f>"LAREDO INDEP SCHOOL DISTRICT"</f>
        <v>LAREDO INDEP SCHOOL DISTRICT</v>
      </c>
      <c r="D1045" t="s">
        <v>11</v>
      </c>
      <c r="E1045" t="s">
        <v>865</v>
      </c>
      <c r="F1045" t="s">
        <v>452</v>
      </c>
      <c r="G1045">
        <v>78040</v>
      </c>
      <c r="H1045">
        <v>2010</v>
      </c>
      <c r="I1045" s="1">
        <v>57495.35</v>
      </c>
      <c r="J1045" s="1">
        <v>63883.72</v>
      </c>
      <c r="K1045" s="1">
        <v>57495.3</v>
      </c>
    </row>
    <row r="1046" spans="1:11" x14ac:dyDescent="0.35">
      <c r="A1046">
        <v>748268</v>
      </c>
      <c r="B1046">
        <v>2030490</v>
      </c>
      <c r="C1046" t="str">
        <f>"LAREDO INDEP SCHOOL DISTRICT"</f>
        <v>LAREDO INDEP SCHOOL DISTRICT</v>
      </c>
      <c r="D1046" t="s">
        <v>11</v>
      </c>
      <c r="E1046" t="s">
        <v>865</v>
      </c>
      <c r="F1046" t="s">
        <v>452</v>
      </c>
      <c r="G1046">
        <v>78040</v>
      </c>
      <c r="H1046">
        <v>2010</v>
      </c>
      <c r="I1046" s="1">
        <v>199643.31</v>
      </c>
      <c r="J1046" s="1">
        <v>221825.9</v>
      </c>
      <c r="K1046" s="1">
        <v>199643.31</v>
      </c>
    </row>
    <row r="1047" spans="1:11" x14ac:dyDescent="0.35">
      <c r="A1047">
        <v>760233</v>
      </c>
      <c r="B1047">
        <v>2064278</v>
      </c>
      <c r="C1047" t="str">
        <f>"LASARA INDEP SCHOOL DISTRICT"</f>
        <v>LASARA INDEP SCHOOL DISTRICT</v>
      </c>
      <c r="D1047" t="s">
        <v>11</v>
      </c>
      <c r="E1047" t="s">
        <v>866</v>
      </c>
      <c r="F1047" t="s">
        <v>867</v>
      </c>
      <c r="G1047">
        <v>78561</v>
      </c>
      <c r="H1047">
        <v>2010</v>
      </c>
      <c r="I1047" s="1">
        <v>455.47</v>
      </c>
      <c r="J1047" s="1">
        <v>506.08</v>
      </c>
      <c r="K1047" s="1">
        <v>455.47</v>
      </c>
    </row>
    <row r="1048" spans="1:11" x14ac:dyDescent="0.35">
      <c r="A1048">
        <v>760233</v>
      </c>
      <c r="B1048">
        <v>2126757</v>
      </c>
      <c r="C1048" t="str">
        <f>"LASARA INDEP SCHOOL DISTRICT"</f>
        <v>LASARA INDEP SCHOOL DISTRICT</v>
      </c>
      <c r="D1048" t="s">
        <v>11</v>
      </c>
      <c r="E1048" t="s">
        <v>866</v>
      </c>
      <c r="F1048" t="s">
        <v>867</v>
      </c>
      <c r="G1048">
        <v>78561</v>
      </c>
      <c r="H1048">
        <v>2010</v>
      </c>
      <c r="I1048" s="1">
        <v>227.74</v>
      </c>
      <c r="J1048" s="1">
        <v>253.04</v>
      </c>
      <c r="K1048" s="1">
        <v>227.74</v>
      </c>
    </row>
    <row r="1049" spans="1:11" x14ac:dyDescent="0.35">
      <c r="A1049">
        <v>760233</v>
      </c>
      <c r="B1049">
        <v>2061494</v>
      </c>
      <c r="C1049" t="str">
        <f>"LASARA INDEP SCHOOL DISTRICT"</f>
        <v>LASARA INDEP SCHOOL DISTRICT</v>
      </c>
      <c r="D1049" t="s">
        <v>11</v>
      </c>
      <c r="E1049" t="s">
        <v>866</v>
      </c>
      <c r="F1049" t="s">
        <v>867</v>
      </c>
      <c r="G1049">
        <v>78561</v>
      </c>
      <c r="H1049">
        <v>2010</v>
      </c>
      <c r="I1049" s="1">
        <v>4393.4399999999996</v>
      </c>
      <c r="J1049" s="1">
        <v>4881.6000000000004</v>
      </c>
      <c r="K1049" s="1">
        <v>4287.0600000000004</v>
      </c>
    </row>
    <row r="1050" spans="1:11" x14ac:dyDescent="0.35">
      <c r="A1050">
        <v>760233</v>
      </c>
      <c r="B1050">
        <v>2064200</v>
      </c>
      <c r="C1050" t="str">
        <f>"LASARA INDEP SCHOOL DISTRICT"</f>
        <v>LASARA INDEP SCHOOL DISTRICT</v>
      </c>
      <c r="D1050" t="s">
        <v>11</v>
      </c>
      <c r="E1050" t="s">
        <v>866</v>
      </c>
      <c r="F1050" t="s">
        <v>867</v>
      </c>
      <c r="G1050">
        <v>78561</v>
      </c>
      <c r="H1050">
        <v>2010</v>
      </c>
      <c r="I1050" s="1">
        <v>18370.8</v>
      </c>
      <c r="J1050" s="1">
        <v>20412</v>
      </c>
      <c r="K1050" s="1">
        <v>18370.8</v>
      </c>
    </row>
    <row r="1051" spans="1:11" x14ac:dyDescent="0.35">
      <c r="A1051">
        <v>760233</v>
      </c>
      <c r="B1051">
        <v>2064388</v>
      </c>
      <c r="C1051" t="str">
        <f>"LASARA INDEP SCHOOL DISTRICT"</f>
        <v>LASARA INDEP SCHOOL DISTRICT</v>
      </c>
      <c r="D1051" t="s">
        <v>11</v>
      </c>
      <c r="E1051" t="s">
        <v>866</v>
      </c>
      <c r="F1051" t="s">
        <v>867</v>
      </c>
      <c r="G1051">
        <v>78561</v>
      </c>
      <c r="H1051">
        <v>2010</v>
      </c>
      <c r="I1051" s="1">
        <v>0</v>
      </c>
      <c r="J1051" s="1">
        <v>0</v>
      </c>
    </row>
    <row r="1052" spans="1:11" x14ac:dyDescent="0.35">
      <c r="A1052">
        <v>768508</v>
      </c>
      <c r="B1052">
        <v>2078450</v>
      </c>
      <c r="C1052" t="str">
        <f>"LATEXO INDEP SCHOOL DISTRICT"</f>
        <v>LATEXO INDEP SCHOOL DISTRICT</v>
      </c>
      <c r="D1052" t="s">
        <v>11</v>
      </c>
      <c r="E1052" t="s">
        <v>868</v>
      </c>
      <c r="F1052" t="s">
        <v>869</v>
      </c>
      <c r="G1052">
        <v>75849</v>
      </c>
      <c r="H1052">
        <v>2010</v>
      </c>
      <c r="I1052" s="1">
        <v>2105.92</v>
      </c>
      <c r="J1052" s="1">
        <v>2770.95</v>
      </c>
      <c r="K1052" s="1">
        <v>2005.64</v>
      </c>
    </row>
    <row r="1053" spans="1:11" x14ac:dyDescent="0.35">
      <c r="A1053">
        <v>768327</v>
      </c>
      <c r="B1053">
        <v>2077886</v>
      </c>
      <c r="C1053" t="str">
        <f>"LATEXO INDEP SCHOOL DISTRICT"</f>
        <v>LATEXO INDEP SCHOOL DISTRICT</v>
      </c>
      <c r="D1053" t="s">
        <v>11</v>
      </c>
      <c r="E1053" t="s">
        <v>868</v>
      </c>
      <c r="F1053" t="s">
        <v>869</v>
      </c>
      <c r="G1053">
        <v>75849</v>
      </c>
      <c r="H1053">
        <v>2010</v>
      </c>
      <c r="I1053" s="1">
        <v>6383.13</v>
      </c>
      <c r="J1053" s="1">
        <v>8398.85</v>
      </c>
      <c r="K1053" s="1">
        <v>6365.04</v>
      </c>
    </row>
    <row r="1054" spans="1:11" x14ac:dyDescent="0.35">
      <c r="A1054">
        <v>767568</v>
      </c>
      <c r="B1054">
        <v>2077408</v>
      </c>
      <c r="C1054" t="str">
        <f>"LATEXO INDEP SCHOOL DISTRICT"</f>
        <v>LATEXO INDEP SCHOOL DISTRICT</v>
      </c>
      <c r="D1054" t="s">
        <v>11</v>
      </c>
      <c r="E1054" t="s">
        <v>868</v>
      </c>
      <c r="F1054" t="s">
        <v>869</v>
      </c>
      <c r="G1054">
        <v>75849</v>
      </c>
      <c r="H1054">
        <v>2010</v>
      </c>
      <c r="I1054" s="1">
        <v>16347.6</v>
      </c>
      <c r="J1054" s="1">
        <v>21510</v>
      </c>
      <c r="K1054" s="1">
        <v>16347.6</v>
      </c>
    </row>
    <row r="1055" spans="1:11" x14ac:dyDescent="0.35">
      <c r="A1055">
        <v>721957</v>
      </c>
      <c r="B1055">
        <v>2013359</v>
      </c>
      <c r="C1055" t="str">
        <f>"LEAKEY INDEP SCHOOL DISTRICT"</f>
        <v>LEAKEY INDEP SCHOOL DISTRICT</v>
      </c>
      <c r="D1055" t="s">
        <v>11</v>
      </c>
      <c r="E1055" t="s">
        <v>870</v>
      </c>
      <c r="F1055" t="s">
        <v>130</v>
      </c>
      <c r="G1055">
        <v>78873</v>
      </c>
      <c r="H1055">
        <v>2010</v>
      </c>
      <c r="I1055" s="1">
        <v>663.46</v>
      </c>
      <c r="J1055" s="1">
        <v>829.32</v>
      </c>
      <c r="K1055" s="1">
        <v>663.46</v>
      </c>
    </row>
    <row r="1056" spans="1:11" x14ac:dyDescent="0.35">
      <c r="A1056">
        <v>721957</v>
      </c>
      <c r="B1056">
        <v>1974537</v>
      </c>
      <c r="C1056" t="str">
        <f>"LEAKEY INDEP SCHOOL DISTRICT"</f>
        <v>LEAKEY INDEP SCHOOL DISTRICT</v>
      </c>
      <c r="D1056" t="s">
        <v>11</v>
      </c>
      <c r="E1056" t="s">
        <v>870</v>
      </c>
      <c r="F1056" t="s">
        <v>130</v>
      </c>
      <c r="G1056">
        <v>78873</v>
      </c>
      <c r="H1056">
        <v>2010</v>
      </c>
      <c r="I1056" s="1">
        <v>3840</v>
      </c>
      <c r="J1056" s="1">
        <v>4800</v>
      </c>
      <c r="K1056" s="1">
        <v>3840</v>
      </c>
    </row>
    <row r="1057" spans="1:11" x14ac:dyDescent="0.35">
      <c r="A1057">
        <v>721957</v>
      </c>
      <c r="B1057">
        <v>1974529</v>
      </c>
      <c r="C1057" t="str">
        <f>"LEAKEY INDEP SCHOOL DISTRICT"</f>
        <v>LEAKEY INDEP SCHOOL DISTRICT</v>
      </c>
      <c r="D1057" t="s">
        <v>11</v>
      </c>
      <c r="E1057" t="s">
        <v>870</v>
      </c>
      <c r="F1057" t="s">
        <v>130</v>
      </c>
      <c r="G1057">
        <v>78873</v>
      </c>
      <c r="H1057">
        <v>2010</v>
      </c>
      <c r="I1057" s="1">
        <v>19245.310000000001</v>
      </c>
      <c r="J1057" s="1">
        <v>24056.639999999999</v>
      </c>
      <c r="K1057" s="1">
        <v>18406.82</v>
      </c>
    </row>
    <row r="1058" spans="1:11" x14ac:dyDescent="0.35">
      <c r="A1058">
        <v>719928</v>
      </c>
      <c r="B1058">
        <v>2021829</v>
      </c>
      <c r="C1058" t="str">
        <f>"LEANDER INDEPENDENT SCHOOL DISTRICT"</f>
        <v>LEANDER INDEPENDENT SCHOOL DISTRICT</v>
      </c>
      <c r="D1058" t="s">
        <v>11</v>
      </c>
      <c r="E1058" t="s">
        <v>871</v>
      </c>
      <c r="F1058" t="s">
        <v>872</v>
      </c>
      <c r="G1058">
        <v>78641</v>
      </c>
      <c r="H1058">
        <v>2010</v>
      </c>
      <c r="I1058" s="1">
        <v>11745.3</v>
      </c>
      <c r="J1058" s="1">
        <v>23970</v>
      </c>
      <c r="K1058" s="1">
        <v>3914.11</v>
      </c>
    </row>
    <row r="1059" spans="1:11" x14ac:dyDescent="0.35">
      <c r="A1059">
        <v>719928</v>
      </c>
      <c r="B1059">
        <v>1984417</v>
      </c>
      <c r="C1059" t="str">
        <f>"LEANDER INDEPENDENT SCHOOL DISTRICT"</f>
        <v>LEANDER INDEPENDENT SCHOOL DISTRICT</v>
      </c>
      <c r="D1059" t="s">
        <v>11</v>
      </c>
      <c r="E1059" t="s">
        <v>871</v>
      </c>
      <c r="F1059" t="s">
        <v>872</v>
      </c>
      <c r="G1059">
        <v>78641</v>
      </c>
      <c r="H1059">
        <v>2010</v>
      </c>
      <c r="I1059" s="1">
        <v>40153.339999999997</v>
      </c>
      <c r="J1059" s="1">
        <v>81945.600000000006</v>
      </c>
      <c r="K1059" s="1">
        <v>40152.54</v>
      </c>
    </row>
    <row r="1060" spans="1:11" x14ac:dyDescent="0.35">
      <c r="A1060">
        <v>719928</v>
      </c>
      <c r="B1060">
        <v>1984420</v>
      </c>
      <c r="C1060" t="str">
        <f>"LEANDER INDEPENDENT SCHOOL DISTRICT"</f>
        <v>LEANDER INDEPENDENT SCHOOL DISTRICT</v>
      </c>
      <c r="D1060" t="s">
        <v>11</v>
      </c>
      <c r="E1060" t="s">
        <v>871</v>
      </c>
      <c r="F1060" t="s">
        <v>872</v>
      </c>
      <c r="G1060">
        <v>78641</v>
      </c>
      <c r="H1060">
        <v>2010</v>
      </c>
      <c r="I1060" s="1">
        <v>17199</v>
      </c>
      <c r="J1060" s="1">
        <v>35100</v>
      </c>
      <c r="K1060" s="1">
        <v>13925.95</v>
      </c>
    </row>
    <row r="1061" spans="1:11" x14ac:dyDescent="0.35">
      <c r="A1061">
        <v>742669</v>
      </c>
      <c r="B1061">
        <v>2005739</v>
      </c>
      <c r="C1061" t="str">
        <f>"LEFORS INDEP SCHOOL DISTRICT"</f>
        <v>LEFORS INDEP SCHOOL DISTRICT</v>
      </c>
      <c r="D1061" t="s">
        <v>11</v>
      </c>
      <c r="E1061" t="s">
        <v>873</v>
      </c>
      <c r="F1061" t="s">
        <v>874</v>
      </c>
      <c r="G1061">
        <v>79054</v>
      </c>
      <c r="H1061">
        <v>2010</v>
      </c>
      <c r="I1061" s="1">
        <v>2590</v>
      </c>
      <c r="J1061" s="1">
        <v>3700</v>
      </c>
      <c r="K1061" s="1">
        <v>2590</v>
      </c>
    </row>
    <row r="1062" spans="1:11" x14ac:dyDescent="0.35">
      <c r="A1062">
        <v>742669</v>
      </c>
      <c r="B1062">
        <v>2005837</v>
      </c>
      <c r="C1062" t="str">
        <f>"LEFORS INDEP SCHOOL DISTRICT"</f>
        <v>LEFORS INDEP SCHOOL DISTRICT</v>
      </c>
      <c r="D1062" t="s">
        <v>11</v>
      </c>
      <c r="E1062" t="s">
        <v>873</v>
      </c>
      <c r="F1062" t="s">
        <v>874</v>
      </c>
      <c r="G1062">
        <v>79054</v>
      </c>
      <c r="H1062">
        <v>2010</v>
      </c>
      <c r="I1062" s="1">
        <v>4648</v>
      </c>
      <c r="J1062" s="1">
        <v>6640</v>
      </c>
      <c r="K1062" s="1">
        <v>4648</v>
      </c>
    </row>
    <row r="1063" spans="1:11" x14ac:dyDescent="0.35">
      <c r="A1063">
        <v>766506</v>
      </c>
      <c r="B1063">
        <v>2072142</v>
      </c>
      <c r="C1063" t="str">
        <f>"LEGGETT INDEP SCHOOL DISTRICT"</f>
        <v>LEGGETT INDEP SCHOOL DISTRICT</v>
      </c>
      <c r="D1063" t="s">
        <v>11</v>
      </c>
      <c r="E1063" t="s">
        <v>875</v>
      </c>
      <c r="F1063" t="s">
        <v>876</v>
      </c>
      <c r="G1063">
        <v>77350</v>
      </c>
      <c r="H1063">
        <v>2010</v>
      </c>
      <c r="I1063" s="1">
        <v>4378.5200000000004</v>
      </c>
      <c r="J1063" s="1">
        <v>5151.2</v>
      </c>
      <c r="K1063" s="1">
        <v>4378.5200000000004</v>
      </c>
    </row>
    <row r="1064" spans="1:11" x14ac:dyDescent="0.35">
      <c r="A1064">
        <v>766506</v>
      </c>
      <c r="B1064">
        <v>2072115</v>
      </c>
      <c r="C1064" t="str">
        <f>"LEGGETT INDEP SCHOOL DISTRICT"</f>
        <v>LEGGETT INDEP SCHOOL DISTRICT</v>
      </c>
      <c r="D1064" t="s">
        <v>11</v>
      </c>
      <c r="E1064" t="s">
        <v>875</v>
      </c>
      <c r="F1064" t="s">
        <v>876</v>
      </c>
      <c r="G1064">
        <v>77350</v>
      </c>
      <c r="H1064">
        <v>2010</v>
      </c>
      <c r="I1064" s="1">
        <v>18283.5</v>
      </c>
      <c r="J1064" s="1">
        <v>21510</v>
      </c>
      <c r="K1064" s="1">
        <v>15835.5</v>
      </c>
    </row>
    <row r="1065" spans="1:11" x14ac:dyDescent="0.35">
      <c r="A1065">
        <v>766506</v>
      </c>
      <c r="B1065">
        <v>2072128</v>
      </c>
      <c r="C1065" t="str">
        <f>"LEGGETT INDEP SCHOOL DISTRICT"</f>
        <v>LEGGETT INDEP SCHOOL DISTRICT</v>
      </c>
      <c r="D1065" t="s">
        <v>11</v>
      </c>
      <c r="E1065" t="s">
        <v>875</v>
      </c>
      <c r="F1065" t="s">
        <v>876</v>
      </c>
      <c r="G1065">
        <v>77350</v>
      </c>
      <c r="H1065">
        <v>2010</v>
      </c>
      <c r="I1065" s="1">
        <v>7139.02</v>
      </c>
      <c r="J1065" s="1">
        <v>8398.85</v>
      </c>
      <c r="K1065" s="1">
        <v>7118.79</v>
      </c>
    </row>
    <row r="1066" spans="1:11" x14ac:dyDescent="0.35">
      <c r="A1066">
        <v>722159</v>
      </c>
      <c r="B1066">
        <v>1958151</v>
      </c>
      <c r="C1066" t="str">
        <f>"LEON INDEP SCHOOL DISTRICT"</f>
        <v>LEON INDEP SCHOOL DISTRICT</v>
      </c>
      <c r="D1066" t="s">
        <v>11</v>
      </c>
      <c r="E1066" t="s">
        <v>877</v>
      </c>
      <c r="F1066" t="s">
        <v>878</v>
      </c>
      <c r="G1066">
        <v>75846</v>
      </c>
      <c r="H1066">
        <v>2010</v>
      </c>
      <c r="I1066" s="1">
        <v>13972.5</v>
      </c>
      <c r="J1066" s="1">
        <v>18630</v>
      </c>
      <c r="K1066" s="1">
        <v>13972.5</v>
      </c>
    </row>
    <row r="1067" spans="1:11" x14ac:dyDescent="0.35">
      <c r="A1067">
        <v>722159</v>
      </c>
      <c r="B1067">
        <v>1958162</v>
      </c>
      <c r="C1067" t="str">
        <f>"LEON INDEP SCHOOL DISTRICT"</f>
        <v>LEON INDEP SCHOOL DISTRICT</v>
      </c>
      <c r="D1067" t="s">
        <v>11</v>
      </c>
      <c r="E1067" t="s">
        <v>877</v>
      </c>
      <c r="F1067" t="s">
        <v>878</v>
      </c>
      <c r="G1067">
        <v>75846</v>
      </c>
      <c r="H1067">
        <v>2010</v>
      </c>
      <c r="I1067" s="1">
        <v>6299.14</v>
      </c>
      <c r="J1067" s="1">
        <v>8398.85</v>
      </c>
      <c r="K1067" s="1">
        <v>6281.29</v>
      </c>
    </row>
    <row r="1068" spans="1:11" x14ac:dyDescent="0.35">
      <c r="A1068">
        <v>720416</v>
      </c>
      <c r="B1068">
        <v>1954728</v>
      </c>
      <c r="C1068" t="str">
        <f>"LEVELLAND INDEP SCHOOL DIST"</f>
        <v>LEVELLAND INDEP SCHOOL DIST</v>
      </c>
      <c r="D1068" t="s">
        <v>11</v>
      </c>
      <c r="E1068" t="s">
        <v>879</v>
      </c>
      <c r="F1068" t="s">
        <v>880</v>
      </c>
      <c r="G1068">
        <v>79336</v>
      </c>
      <c r="H1068">
        <v>2010</v>
      </c>
      <c r="I1068" s="1">
        <v>21667.439999999999</v>
      </c>
      <c r="J1068" s="1">
        <v>26749.919999999998</v>
      </c>
      <c r="K1068" s="1">
        <v>14356.44</v>
      </c>
    </row>
    <row r="1069" spans="1:11" x14ac:dyDescent="0.35">
      <c r="A1069">
        <v>720297</v>
      </c>
      <c r="B1069">
        <v>1954671</v>
      </c>
      <c r="C1069" t="str">
        <f>"LEVELLAND INDEP SCHOOL DIST"</f>
        <v>LEVELLAND INDEP SCHOOL DIST</v>
      </c>
      <c r="D1069" t="s">
        <v>11</v>
      </c>
      <c r="E1069" t="s">
        <v>879</v>
      </c>
      <c r="F1069" t="s">
        <v>880</v>
      </c>
      <c r="G1069">
        <v>79336</v>
      </c>
      <c r="H1069">
        <v>2010</v>
      </c>
      <c r="I1069" s="1">
        <v>1479.87</v>
      </c>
      <c r="J1069" s="1">
        <v>1827</v>
      </c>
      <c r="K1069" s="1">
        <v>1479.87</v>
      </c>
    </row>
    <row r="1070" spans="1:11" x14ac:dyDescent="0.35">
      <c r="A1070">
        <v>743562</v>
      </c>
      <c r="B1070">
        <v>2007235</v>
      </c>
      <c r="C1070" t="str">
        <f>"LEVELLAND INDEP SCHOOL DIST"</f>
        <v>LEVELLAND INDEP SCHOOL DIST</v>
      </c>
      <c r="D1070" t="s">
        <v>11</v>
      </c>
      <c r="E1070" t="s">
        <v>879</v>
      </c>
      <c r="F1070" t="s">
        <v>880</v>
      </c>
      <c r="G1070">
        <v>79336</v>
      </c>
      <c r="H1070">
        <v>2010</v>
      </c>
      <c r="I1070" s="1">
        <v>7575.96</v>
      </c>
      <c r="J1070" s="1">
        <v>9353.0400000000009</v>
      </c>
    </row>
    <row r="1071" spans="1:11" x14ac:dyDescent="0.35">
      <c r="A1071">
        <v>763226</v>
      </c>
      <c r="B1071">
        <v>2062163</v>
      </c>
      <c r="C1071" t="str">
        <f>"LEVELLAND INDEP SCHOOL DIST"</f>
        <v>LEVELLAND INDEP SCHOOL DIST</v>
      </c>
      <c r="D1071" t="s">
        <v>11</v>
      </c>
      <c r="E1071" t="s">
        <v>879</v>
      </c>
      <c r="F1071" t="s">
        <v>880</v>
      </c>
      <c r="G1071">
        <v>79336</v>
      </c>
      <c r="H1071">
        <v>2010</v>
      </c>
      <c r="I1071" s="1">
        <v>14677.2</v>
      </c>
      <c r="J1071" s="1">
        <v>18120</v>
      </c>
      <c r="K1071" s="1">
        <v>13099.01</v>
      </c>
    </row>
    <row r="1072" spans="1:11" x14ac:dyDescent="0.35">
      <c r="A1072">
        <v>728243</v>
      </c>
      <c r="B1072">
        <v>1970424</v>
      </c>
      <c r="C1072" t="str">
        <f>"LEVERETTS CHAPEL SCHOOL DIST"</f>
        <v>LEVERETTS CHAPEL SCHOOL DIST</v>
      </c>
      <c r="D1072" t="s">
        <v>11</v>
      </c>
      <c r="E1072" t="s">
        <v>881</v>
      </c>
      <c r="F1072" t="s">
        <v>882</v>
      </c>
      <c r="G1072">
        <v>75684</v>
      </c>
      <c r="H1072">
        <v>2010</v>
      </c>
      <c r="I1072" s="1">
        <v>7946.4</v>
      </c>
      <c r="J1072" s="1">
        <v>9240</v>
      </c>
      <c r="K1072" s="1">
        <v>3096</v>
      </c>
    </row>
    <row r="1073" spans="1:11" x14ac:dyDescent="0.35">
      <c r="A1073">
        <v>719930</v>
      </c>
      <c r="B1073">
        <v>1969590</v>
      </c>
      <c r="C1073" t="str">
        <f>"LEWISVILLE ISD"</f>
        <v>LEWISVILLE ISD</v>
      </c>
      <c r="D1073" t="s">
        <v>11</v>
      </c>
      <c r="E1073" t="s">
        <v>883</v>
      </c>
      <c r="F1073" t="s">
        <v>884</v>
      </c>
      <c r="G1073">
        <v>75028</v>
      </c>
      <c r="H1073">
        <v>2010</v>
      </c>
      <c r="I1073" s="1">
        <v>34944</v>
      </c>
      <c r="J1073" s="1">
        <v>67200</v>
      </c>
      <c r="K1073" s="1">
        <v>34944</v>
      </c>
    </row>
    <row r="1074" spans="1:11" x14ac:dyDescent="0.35">
      <c r="A1074">
        <v>724943</v>
      </c>
      <c r="B1074">
        <v>1963298</v>
      </c>
      <c r="C1074" t="str">
        <f>"LEXINGTON INDEP SCHOOL DIST"</f>
        <v>LEXINGTON INDEP SCHOOL DIST</v>
      </c>
      <c r="D1074" t="s">
        <v>11</v>
      </c>
      <c r="E1074" t="s">
        <v>885</v>
      </c>
      <c r="F1074" t="s">
        <v>886</v>
      </c>
      <c r="G1074">
        <v>78947</v>
      </c>
      <c r="H1074">
        <v>2010</v>
      </c>
      <c r="I1074" s="1">
        <v>3631.6</v>
      </c>
      <c r="J1074" s="1">
        <v>5188</v>
      </c>
      <c r="K1074" s="1">
        <v>3631.6</v>
      </c>
    </row>
    <row r="1075" spans="1:11" x14ac:dyDescent="0.35">
      <c r="A1075">
        <v>717753</v>
      </c>
      <c r="B1075">
        <v>1950889</v>
      </c>
      <c r="C1075" t="str">
        <f>"LIBERTY HILL IND SCHOOL DIST"</f>
        <v>LIBERTY HILL IND SCHOOL DIST</v>
      </c>
      <c r="D1075" t="s">
        <v>11</v>
      </c>
      <c r="E1075" t="s">
        <v>887</v>
      </c>
      <c r="F1075" t="s">
        <v>888</v>
      </c>
      <c r="G1075">
        <v>78642</v>
      </c>
      <c r="H1075">
        <v>2010</v>
      </c>
      <c r="I1075" s="1">
        <v>356.87</v>
      </c>
      <c r="J1075" s="1">
        <v>686.28</v>
      </c>
      <c r="K1075" s="1">
        <v>338.4</v>
      </c>
    </row>
    <row r="1076" spans="1:11" x14ac:dyDescent="0.35">
      <c r="A1076">
        <v>717753</v>
      </c>
      <c r="B1076">
        <v>1950863</v>
      </c>
      <c r="C1076" t="str">
        <f>"LIBERTY HILL IND SCHOOL DIST"</f>
        <v>LIBERTY HILL IND SCHOOL DIST</v>
      </c>
      <c r="D1076" t="s">
        <v>11</v>
      </c>
      <c r="E1076" t="s">
        <v>887</v>
      </c>
      <c r="F1076" t="s">
        <v>888</v>
      </c>
      <c r="G1076">
        <v>78642</v>
      </c>
      <c r="H1076">
        <v>2010</v>
      </c>
      <c r="I1076" s="1">
        <v>15288</v>
      </c>
      <c r="J1076" s="1">
        <v>29400</v>
      </c>
      <c r="K1076" s="1">
        <v>14248</v>
      </c>
    </row>
    <row r="1077" spans="1:11" x14ac:dyDescent="0.35">
      <c r="A1077">
        <v>717753</v>
      </c>
      <c r="B1077">
        <v>1950868</v>
      </c>
      <c r="C1077" t="str">
        <f>"LIBERTY HILL IND SCHOOL DIST"</f>
        <v>LIBERTY HILL IND SCHOOL DIST</v>
      </c>
      <c r="D1077" t="s">
        <v>11</v>
      </c>
      <c r="E1077" t="s">
        <v>887</v>
      </c>
      <c r="F1077" t="s">
        <v>888</v>
      </c>
      <c r="G1077">
        <v>78642</v>
      </c>
      <c r="H1077">
        <v>2010</v>
      </c>
      <c r="I1077" s="1">
        <v>1247.3800000000001</v>
      </c>
      <c r="J1077" s="1">
        <v>2398.8000000000002</v>
      </c>
      <c r="K1077" s="1">
        <v>831.58</v>
      </c>
    </row>
    <row r="1078" spans="1:11" x14ac:dyDescent="0.35">
      <c r="A1078">
        <v>717753</v>
      </c>
      <c r="B1078">
        <v>1950857</v>
      </c>
      <c r="C1078" t="str">
        <f>"LIBERTY HILL IND SCHOOL DIST"</f>
        <v>LIBERTY HILL IND SCHOOL DIST</v>
      </c>
      <c r="D1078" t="s">
        <v>11</v>
      </c>
      <c r="E1078" t="s">
        <v>887</v>
      </c>
      <c r="F1078" t="s">
        <v>888</v>
      </c>
      <c r="G1078">
        <v>78642</v>
      </c>
      <c r="H1078">
        <v>2010</v>
      </c>
      <c r="I1078" s="1">
        <v>3245.45</v>
      </c>
      <c r="J1078" s="1">
        <v>6241.25</v>
      </c>
      <c r="K1078" s="1">
        <v>3245.45</v>
      </c>
    </row>
    <row r="1079" spans="1:11" x14ac:dyDescent="0.35">
      <c r="A1079">
        <v>764908</v>
      </c>
      <c r="B1079">
        <v>2067468</v>
      </c>
      <c r="C1079" t="str">
        <f>"LIBERTY INDEP SCHOOL DISTRICT"</f>
        <v>LIBERTY INDEP SCHOOL DISTRICT</v>
      </c>
      <c r="D1079" t="s">
        <v>11</v>
      </c>
      <c r="E1079" t="s">
        <v>889</v>
      </c>
      <c r="F1079" t="s">
        <v>890</v>
      </c>
      <c r="G1079">
        <v>77575</v>
      </c>
      <c r="H1079">
        <v>2010</v>
      </c>
      <c r="I1079" s="1">
        <v>0</v>
      </c>
      <c r="J1079" s="1">
        <v>0</v>
      </c>
    </row>
    <row r="1080" spans="1:11" x14ac:dyDescent="0.35">
      <c r="A1080">
        <v>766805</v>
      </c>
      <c r="B1080">
        <v>2073169</v>
      </c>
      <c r="C1080" t="str">
        <f>"LIBERTY INDEP SCHOOL DISTRICT"</f>
        <v>LIBERTY INDEP SCHOOL DISTRICT</v>
      </c>
      <c r="D1080" t="s">
        <v>11</v>
      </c>
      <c r="E1080" t="s">
        <v>889</v>
      </c>
      <c r="F1080" t="s">
        <v>890</v>
      </c>
      <c r="G1080">
        <v>77575</v>
      </c>
      <c r="H1080">
        <v>2010</v>
      </c>
      <c r="I1080" s="1">
        <v>5600.06</v>
      </c>
      <c r="J1080" s="1">
        <v>7000.08</v>
      </c>
      <c r="K1080" s="1">
        <v>5600.06</v>
      </c>
    </row>
    <row r="1081" spans="1:11" x14ac:dyDescent="0.35">
      <c r="A1081">
        <v>764908</v>
      </c>
      <c r="B1081">
        <v>2067302</v>
      </c>
      <c r="C1081" t="str">
        <f>"LIBERTY INDEP SCHOOL DISTRICT"</f>
        <v>LIBERTY INDEP SCHOOL DISTRICT</v>
      </c>
      <c r="D1081" t="s">
        <v>11</v>
      </c>
      <c r="E1081" t="s">
        <v>889</v>
      </c>
      <c r="F1081" t="s">
        <v>890</v>
      </c>
      <c r="G1081">
        <v>77575</v>
      </c>
      <c r="H1081">
        <v>2010</v>
      </c>
      <c r="I1081" s="1">
        <v>14736.67</v>
      </c>
      <c r="J1081" s="1">
        <v>18420.84</v>
      </c>
      <c r="K1081" s="1">
        <v>0</v>
      </c>
    </row>
    <row r="1082" spans="1:11" x14ac:dyDescent="0.35">
      <c r="A1082">
        <v>750887</v>
      </c>
      <c r="B1082">
        <v>2030298</v>
      </c>
      <c r="C1082" t="str">
        <f>"LINDALE INDEP SCHOOL DISTRICT"</f>
        <v>LINDALE INDEP SCHOOL DISTRICT</v>
      </c>
      <c r="D1082" t="s">
        <v>11</v>
      </c>
      <c r="E1082" t="s">
        <v>891</v>
      </c>
      <c r="F1082" t="s">
        <v>892</v>
      </c>
      <c r="G1082">
        <v>75771</v>
      </c>
      <c r="H1082">
        <v>2010</v>
      </c>
      <c r="I1082" s="1">
        <v>6018</v>
      </c>
      <c r="J1082" s="1">
        <v>10200</v>
      </c>
      <c r="K1082" s="1">
        <v>6018</v>
      </c>
    </row>
    <row r="1083" spans="1:11" x14ac:dyDescent="0.35">
      <c r="A1083">
        <v>753159</v>
      </c>
      <c r="B1083">
        <v>2035329</v>
      </c>
      <c r="C1083" t="str">
        <f>"LINDEN-KILDARE CONS SCH DIST"</f>
        <v>LINDEN-KILDARE CONS SCH DIST</v>
      </c>
      <c r="D1083" t="s">
        <v>11</v>
      </c>
      <c r="E1083" t="s">
        <v>893</v>
      </c>
      <c r="F1083" t="s">
        <v>894</v>
      </c>
      <c r="G1083">
        <v>75563</v>
      </c>
      <c r="H1083">
        <v>2010</v>
      </c>
      <c r="I1083" s="1">
        <v>9642.4</v>
      </c>
      <c r="J1083" s="1">
        <v>12053</v>
      </c>
      <c r="K1083" s="1">
        <v>9642.4</v>
      </c>
    </row>
    <row r="1084" spans="1:11" x14ac:dyDescent="0.35">
      <c r="A1084">
        <v>711643</v>
      </c>
      <c r="B1084">
        <v>1968440</v>
      </c>
      <c r="C1084" t="str">
        <f>"LINDSAY INDEP SCHOOL DISTRICT"</f>
        <v>LINDSAY INDEP SCHOOL DISTRICT</v>
      </c>
      <c r="D1084" t="s">
        <v>11</v>
      </c>
      <c r="E1084" t="s">
        <v>895</v>
      </c>
      <c r="F1084" t="s">
        <v>896</v>
      </c>
      <c r="G1084">
        <v>76250</v>
      </c>
      <c r="H1084">
        <v>2010</v>
      </c>
      <c r="I1084" s="1">
        <v>637.5</v>
      </c>
      <c r="J1084" s="1">
        <v>1275</v>
      </c>
      <c r="K1084" s="1">
        <v>637.5</v>
      </c>
    </row>
    <row r="1085" spans="1:11" x14ac:dyDescent="0.35">
      <c r="A1085">
        <v>711643</v>
      </c>
      <c r="B1085">
        <v>1968369</v>
      </c>
      <c r="C1085" t="str">
        <f>"LINDSAY INDEP SCHOOL DISTRICT"</f>
        <v>LINDSAY INDEP SCHOOL DISTRICT</v>
      </c>
      <c r="D1085" t="s">
        <v>11</v>
      </c>
      <c r="E1085" t="s">
        <v>895</v>
      </c>
      <c r="F1085" t="s">
        <v>896</v>
      </c>
      <c r="G1085">
        <v>76250</v>
      </c>
      <c r="H1085">
        <v>2010</v>
      </c>
      <c r="I1085" s="1">
        <v>1080</v>
      </c>
      <c r="J1085" s="1">
        <v>2160</v>
      </c>
      <c r="K1085" s="1">
        <v>1080</v>
      </c>
    </row>
    <row r="1086" spans="1:11" x14ac:dyDescent="0.35">
      <c r="A1086">
        <v>711643</v>
      </c>
      <c r="B1086">
        <v>1968422</v>
      </c>
      <c r="C1086" t="str">
        <f>"LINDSAY INDEP SCHOOL DISTRICT"</f>
        <v>LINDSAY INDEP SCHOOL DISTRICT</v>
      </c>
      <c r="D1086" t="s">
        <v>11</v>
      </c>
      <c r="E1086" t="s">
        <v>895</v>
      </c>
      <c r="F1086" t="s">
        <v>896</v>
      </c>
      <c r="G1086">
        <v>76250</v>
      </c>
      <c r="H1086">
        <v>2010</v>
      </c>
      <c r="I1086" s="1">
        <v>450</v>
      </c>
      <c r="J1086" s="1">
        <v>900</v>
      </c>
      <c r="K1086" s="1">
        <v>414</v>
      </c>
    </row>
    <row r="1087" spans="1:11" x14ac:dyDescent="0.35">
      <c r="A1087">
        <v>703249</v>
      </c>
      <c r="B1087">
        <v>1999415</v>
      </c>
      <c r="C1087" t="str">
        <f>"LINGLEVILLE INDEP SCHOOL DIST"</f>
        <v>LINGLEVILLE INDEP SCHOOL DIST</v>
      </c>
      <c r="D1087" t="s">
        <v>11</v>
      </c>
      <c r="E1087" t="s">
        <v>897</v>
      </c>
      <c r="F1087" t="s">
        <v>898</v>
      </c>
      <c r="G1087">
        <v>76461</v>
      </c>
      <c r="H1087">
        <v>2010</v>
      </c>
      <c r="I1087" s="1">
        <v>39475.08</v>
      </c>
      <c r="J1087" s="1">
        <v>43861.2</v>
      </c>
      <c r="K1087" s="1">
        <v>19632.47</v>
      </c>
    </row>
    <row r="1088" spans="1:11" x14ac:dyDescent="0.35">
      <c r="A1088">
        <v>703249</v>
      </c>
      <c r="B1088">
        <v>1991395</v>
      </c>
      <c r="C1088" t="str">
        <f>"LINGLEVILLE INDEP SCHOOL DIST"</f>
        <v>LINGLEVILLE INDEP SCHOOL DIST</v>
      </c>
      <c r="D1088" t="s">
        <v>11</v>
      </c>
      <c r="E1088" t="s">
        <v>897</v>
      </c>
      <c r="F1088" t="s">
        <v>898</v>
      </c>
      <c r="G1088">
        <v>76461</v>
      </c>
      <c r="H1088">
        <v>2010</v>
      </c>
      <c r="I1088" s="1">
        <v>7225.2</v>
      </c>
      <c r="J1088" s="1">
        <v>8028</v>
      </c>
      <c r="K1088" s="1">
        <v>602.1</v>
      </c>
    </row>
    <row r="1089" spans="1:11" x14ac:dyDescent="0.35">
      <c r="A1089">
        <v>719944</v>
      </c>
      <c r="B1089">
        <v>1971705</v>
      </c>
      <c r="C1089" t="str">
        <f>"LIPAN INDEP SCHOOL DISTRICT"</f>
        <v>LIPAN INDEP SCHOOL DISTRICT</v>
      </c>
      <c r="D1089" t="s">
        <v>11</v>
      </c>
      <c r="E1089" t="s">
        <v>899</v>
      </c>
      <c r="F1089" t="s">
        <v>900</v>
      </c>
      <c r="G1089">
        <v>76462</v>
      </c>
      <c r="H1089">
        <v>2010</v>
      </c>
      <c r="I1089" s="1">
        <v>3215.31</v>
      </c>
      <c r="J1089" s="1">
        <v>5358.85</v>
      </c>
      <c r="K1089" s="1">
        <v>3215.31</v>
      </c>
    </row>
    <row r="1090" spans="1:11" x14ac:dyDescent="0.35">
      <c r="A1090">
        <v>719944</v>
      </c>
      <c r="B1090">
        <v>1971698</v>
      </c>
      <c r="C1090" t="str">
        <f>"LIPAN INDEP SCHOOL DISTRICT"</f>
        <v>LIPAN INDEP SCHOOL DISTRICT</v>
      </c>
      <c r="D1090" t="s">
        <v>11</v>
      </c>
      <c r="E1090" t="s">
        <v>899</v>
      </c>
      <c r="F1090" t="s">
        <v>900</v>
      </c>
      <c r="G1090">
        <v>76462</v>
      </c>
      <c r="H1090">
        <v>2010</v>
      </c>
      <c r="I1090" s="1">
        <v>2736</v>
      </c>
      <c r="J1090" s="1">
        <v>4560</v>
      </c>
      <c r="K1090" s="1">
        <v>2736</v>
      </c>
    </row>
    <row r="1091" spans="1:11" x14ac:dyDescent="0.35">
      <c r="A1091">
        <v>719944</v>
      </c>
      <c r="B1091">
        <v>1971713</v>
      </c>
      <c r="C1091" t="str">
        <f>"LIPAN INDEP SCHOOL DISTRICT"</f>
        <v>LIPAN INDEP SCHOOL DISTRICT</v>
      </c>
      <c r="D1091" t="s">
        <v>11</v>
      </c>
      <c r="E1091" t="s">
        <v>899</v>
      </c>
      <c r="F1091" t="s">
        <v>900</v>
      </c>
      <c r="G1091">
        <v>76462</v>
      </c>
      <c r="H1091">
        <v>2010</v>
      </c>
      <c r="I1091" s="1">
        <v>600</v>
      </c>
      <c r="J1091" s="1">
        <v>1000</v>
      </c>
      <c r="K1091" s="1">
        <v>600</v>
      </c>
    </row>
    <row r="1092" spans="1:11" x14ac:dyDescent="0.35">
      <c r="A1092">
        <v>720850</v>
      </c>
      <c r="B1092">
        <v>1955834</v>
      </c>
      <c r="C1092" t="str">
        <f>"LITTLE CYPRESS-MAURICEVLLE ISD"</f>
        <v>LITTLE CYPRESS-MAURICEVLLE ISD</v>
      </c>
      <c r="D1092" t="s">
        <v>11</v>
      </c>
      <c r="E1092" t="s">
        <v>901</v>
      </c>
      <c r="F1092" t="s">
        <v>902</v>
      </c>
      <c r="G1092">
        <v>77632</v>
      </c>
      <c r="H1092">
        <v>2010</v>
      </c>
      <c r="I1092" s="1">
        <v>2247.84</v>
      </c>
      <c r="J1092" s="1">
        <v>4014</v>
      </c>
      <c r="K1092" s="1">
        <v>2247.84</v>
      </c>
    </row>
    <row r="1093" spans="1:11" x14ac:dyDescent="0.35">
      <c r="A1093">
        <v>720850</v>
      </c>
      <c r="B1093">
        <v>1955828</v>
      </c>
      <c r="C1093" t="str">
        <f>"LITTLE CYPRESS-MAURICEVLLE ISD"</f>
        <v>LITTLE CYPRESS-MAURICEVLLE ISD</v>
      </c>
      <c r="D1093" t="s">
        <v>11</v>
      </c>
      <c r="E1093" t="s">
        <v>901</v>
      </c>
      <c r="F1093" t="s">
        <v>902</v>
      </c>
      <c r="G1093">
        <v>77632</v>
      </c>
      <c r="H1093">
        <v>2010</v>
      </c>
      <c r="I1093" s="1">
        <v>4120.12</v>
      </c>
      <c r="J1093" s="1">
        <v>7357.35</v>
      </c>
      <c r="K1093" s="1">
        <v>4120.12</v>
      </c>
    </row>
    <row r="1094" spans="1:11" x14ac:dyDescent="0.35">
      <c r="A1094">
        <v>756238</v>
      </c>
      <c r="B1094">
        <v>2044170</v>
      </c>
      <c r="C1094" t="str">
        <f t="shared" ref="C1094:C1099" si="16">"LITTLE ELM ISD"</f>
        <v>LITTLE ELM ISD</v>
      </c>
      <c r="D1094" t="s">
        <v>11</v>
      </c>
      <c r="E1094" t="s">
        <v>903</v>
      </c>
      <c r="F1094" t="s">
        <v>904</v>
      </c>
      <c r="G1094">
        <v>75068</v>
      </c>
      <c r="H1094">
        <v>2010</v>
      </c>
      <c r="I1094" s="1">
        <v>7524.56</v>
      </c>
      <c r="J1094" s="1">
        <v>11943.75</v>
      </c>
      <c r="K1094" s="1">
        <v>7524.56</v>
      </c>
    </row>
    <row r="1095" spans="1:11" x14ac:dyDescent="0.35">
      <c r="A1095">
        <v>756238</v>
      </c>
      <c r="B1095">
        <v>2043743</v>
      </c>
      <c r="C1095" t="str">
        <f t="shared" si="16"/>
        <v>LITTLE ELM ISD</v>
      </c>
      <c r="D1095" t="s">
        <v>11</v>
      </c>
      <c r="E1095" t="s">
        <v>903</v>
      </c>
      <c r="F1095" t="s">
        <v>904</v>
      </c>
      <c r="G1095">
        <v>75068</v>
      </c>
      <c r="H1095">
        <v>2010</v>
      </c>
      <c r="I1095" s="1">
        <v>0</v>
      </c>
      <c r="J1095" s="1">
        <v>0</v>
      </c>
    </row>
    <row r="1096" spans="1:11" x14ac:dyDescent="0.35">
      <c r="A1096">
        <v>734484</v>
      </c>
      <c r="B1096">
        <v>1986247</v>
      </c>
      <c r="C1096" t="str">
        <f t="shared" si="16"/>
        <v>LITTLE ELM ISD</v>
      </c>
      <c r="D1096" t="s">
        <v>11</v>
      </c>
      <c r="E1096" t="s">
        <v>903</v>
      </c>
      <c r="F1096" t="s">
        <v>904</v>
      </c>
      <c r="G1096">
        <v>75068</v>
      </c>
      <c r="H1096">
        <v>2010</v>
      </c>
      <c r="I1096" s="1">
        <v>11886.44</v>
      </c>
      <c r="J1096" s="1">
        <v>18867.36</v>
      </c>
      <c r="K1096" s="1">
        <v>11886.44</v>
      </c>
    </row>
    <row r="1097" spans="1:11" x14ac:dyDescent="0.35">
      <c r="A1097">
        <v>734484</v>
      </c>
      <c r="B1097">
        <v>1986429</v>
      </c>
      <c r="C1097" t="str">
        <f t="shared" si="16"/>
        <v>LITTLE ELM ISD</v>
      </c>
      <c r="D1097" t="s">
        <v>11</v>
      </c>
      <c r="E1097" t="s">
        <v>903</v>
      </c>
      <c r="F1097" t="s">
        <v>904</v>
      </c>
      <c r="G1097">
        <v>75068</v>
      </c>
      <c r="H1097">
        <v>2010</v>
      </c>
      <c r="I1097" s="1">
        <v>3777.83</v>
      </c>
      <c r="J1097" s="1">
        <v>5996.55</v>
      </c>
      <c r="K1097" s="1">
        <v>3777.83</v>
      </c>
    </row>
    <row r="1098" spans="1:11" x14ac:dyDescent="0.35">
      <c r="A1098">
        <v>734484</v>
      </c>
      <c r="B1098">
        <v>1985988</v>
      </c>
      <c r="C1098" t="str">
        <f t="shared" si="16"/>
        <v>LITTLE ELM ISD</v>
      </c>
      <c r="D1098" t="s">
        <v>11</v>
      </c>
      <c r="E1098" t="s">
        <v>903</v>
      </c>
      <c r="F1098" t="s">
        <v>904</v>
      </c>
      <c r="G1098">
        <v>75068</v>
      </c>
      <c r="H1098">
        <v>2010</v>
      </c>
      <c r="I1098" s="1">
        <v>7560</v>
      </c>
      <c r="J1098" s="1">
        <v>12000</v>
      </c>
      <c r="K1098" s="1">
        <v>7560</v>
      </c>
    </row>
    <row r="1099" spans="1:11" x14ac:dyDescent="0.35">
      <c r="A1099">
        <v>734484</v>
      </c>
      <c r="B1099">
        <v>1985419</v>
      </c>
      <c r="C1099" t="str">
        <f t="shared" si="16"/>
        <v>LITTLE ELM ISD</v>
      </c>
      <c r="D1099" t="s">
        <v>11</v>
      </c>
      <c r="E1099" t="s">
        <v>903</v>
      </c>
      <c r="F1099" t="s">
        <v>904</v>
      </c>
      <c r="G1099">
        <v>75068</v>
      </c>
      <c r="H1099">
        <v>2010</v>
      </c>
      <c r="I1099" s="1">
        <v>4422.6000000000004</v>
      </c>
      <c r="J1099" s="1">
        <v>7020</v>
      </c>
      <c r="K1099" s="1">
        <v>4422.6000000000004</v>
      </c>
    </row>
    <row r="1100" spans="1:11" x14ac:dyDescent="0.35">
      <c r="A1100">
        <v>752179</v>
      </c>
      <c r="B1100">
        <v>2032329</v>
      </c>
      <c r="C1100" t="str">
        <f>"LITTLEFIELD INDEP SCHOOL DIST"</f>
        <v>LITTLEFIELD INDEP SCHOOL DIST</v>
      </c>
      <c r="D1100" t="s">
        <v>11</v>
      </c>
      <c r="E1100" t="s">
        <v>905</v>
      </c>
      <c r="F1100" t="s">
        <v>906</v>
      </c>
      <c r="G1100">
        <v>79339</v>
      </c>
      <c r="H1100">
        <v>2010</v>
      </c>
      <c r="I1100" s="1">
        <v>5865</v>
      </c>
      <c r="J1100" s="1">
        <v>6900</v>
      </c>
      <c r="K1100" s="1">
        <v>5865</v>
      </c>
    </row>
    <row r="1101" spans="1:11" x14ac:dyDescent="0.35">
      <c r="A1101">
        <v>752179</v>
      </c>
      <c r="B1101">
        <v>2032383</v>
      </c>
      <c r="C1101" t="str">
        <f>"LITTLEFIELD INDEP SCHOOL DIST"</f>
        <v>LITTLEFIELD INDEP SCHOOL DIST</v>
      </c>
      <c r="D1101" t="s">
        <v>11</v>
      </c>
      <c r="E1101" t="s">
        <v>905</v>
      </c>
      <c r="F1101" t="s">
        <v>906</v>
      </c>
      <c r="G1101">
        <v>79339</v>
      </c>
      <c r="H1101">
        <v>2010</v>
      </c>
      <c r="I1101" s="1">
        <v>1552.95</v>
      </c>
      <c r="J1101" s="1">
        <v>1827</v>
      </c>
      <c r="K1101" s="1">
        <v>1552.92</v>
      </c>
    </row>
    <row r="1102" spans="1:11" x14ac:dyDescent="0.35">
      <c r="A1102">
        <v>753160</v>
      </c>
      <c r="B1102">
        <v>2035209</v>
      </c>
      <c r="C1102" t="str">
        <f>"LITTLEFIELD INDEP SCHOOL DIST"</f>
        <v>LITTLEFIELD INDEP SCHOOL DIST</v>
      </c>
      <c r="D1102" t="s">
        <v>11</v>
      </c>
      <c r="E1102" t="s">
        <v>905</v>
      </c>
      <c r="F1102" t="s">
        <v>906</v>
      </c>
      <c r="G1102">
        <v>79339</v>
      </c>
      <c r="H1102">
        <v>2010</v>
      </c>
      <c r="I1102" s="1">
        <v>1861.3</v>
      </c>
      <c r="J1102" s="1">
        <v>2189.7600000000002</v>
      </c>
      <c r="K1102" s="1">
        <v>1861.3</v>
      </c>
    </row>
    <row r="1103" spans="1:11" x14ac:dyDescent="0.35">
      <c r="A1103">
        <v>742434</v>
      </c>
      <c r="B1103">
        <v>2004472</v>
      </c>
      <c r="C1103" t="str">
        <f>"LIVINGSTON INDEP SCHOOL DIST"</f>
        <v>LIVINGSTON INDEP SCHOOL DIST</v>
      </c>
      <c r="D1103" t="s">
        <v>11</v>
      </c>
      <c r="E1103" t="s">
        <v>907</v>
      </c>
      <c r="F1103" t="s">
        <v>908</v>
      </c>
      <c r="G1103">
        <v>77351</v>
      </c>
      <c r="H1103">
        <v>2010</v>
      </c>
      <c r="I1103" s="1">
        <v>27973.84</v>
      </c>
      <c r="J1103" s="1">
        <v>34114.44</v>
      </c>
      <c r="K1103" s="1">
        <v>27973.8</v>
      </c>
    </row>
    <row r="1104" spans="1:11" x14ac:dyDescent="0.35">
      <c r="A1104">
        <v>741935</v>
      </c>
      <c r="B1104">
        <v>2003145</v>
      </c>
      <c r="C1104" t="str">
        <f>"LIVINGSTON INDEP SCHOOL DIST"</f>
        <v>LIVINGSTON INDEP SCHOOL DIST</v>
      </c>
      <c r="D1104" t="s">
        <v>11</v>
      </c>
      <c r="E1104" t="s">
        <v>907</v>
      </c>
      <c r="F1104" t="s">
        <v>908</v>
      </c>
      <c r="G1104">
        <v>77351</v>
      </c>
      <c r="H1104">
        <v>2010</v>
      </c>
      <c r="I1104" s="1">
        <v>6867.54</v>
      </c>
      <c r="J1104" s="1">
        <v>8375.0499999999993</v>
      </c>
      <c r="K1104" s="1">
        <v>6867.54</v>
      </c>
    </row>
    <row r="1105" spans="1:11" x14ac:dyDescent="0.35">
      <c r="A1105">
        <v>732052</v>
      </c>
      <c r="B1105">
        <v>2025858</v>
      </c>
      <c r="C1105" t="str">
        <f>"LLANO INDEP SCHOOL DISTRICT"</f>
        <v>LLANO INDEP SCHOOL DISTRICT</v>
      </c>
      <c r="D1105" t="s">
        <v>11</v>
      </c>
      <c r="E1105" t="s">
        <v>909</v>
      </c>
      <c r="F1105" t="s">
        <v>910</v>
      </c>
      <c r="G1105">
        <v>78643</v>
      </c>
      <c r="H1105">
        <v>2010</v>
      </c>
      <c r="I1105" s="1">
        <v>2410.8000000000002</v>
      </c>
      <c r="J1105" s="1">
        <v>11760</v>
      </c>
      <c r="K1105" s="1">
        <v>1992</v>
      </c>
    </row>
    <row r="1106" spans="1:11" x14ac:dyDescent="0.35">
      <c r="A1106">
        <v>759466</v>
      </c>
      <c r="B1106">
        <v>2051404</v>
      </c>
      <c r="C1106" t="str">
        <f>"LOCKHART INDEP SCHOOL DISTRICT"</f>
        <v>LOCKHART INDEP SCHOOL DISTRICT</v>
      </c>
      <c r="D1106" t="s">
        <v>11</v>
      </c>
      <c r="E1106" t="s">
        <v>911</v>
      </c>
      <c r="F1106" t="s">
        <v>912</v>
      </c>
      <c r="G1106">
        <v>78644</v>
      </c>
      <c r="H1106">
        <v>2010</v>
      </c>
      <c r="I1106" s="1">
        <v>27216</v>
      </c>
      <c r="J1106" s="1">
        <v>33600</v>
      </c>
      <c r="K1106" s="1">
        <v>26325</v>
      </c>
    </row>
    <row r="1107" spans="1:11" x14ac:dyDescent="0.35">
      <c r="A1107">
        <v>745355</v>
      </c>
      <c r="B1107">
        <v>2011979</v>
      </c>
      <c r="C1107" t="str">
        <f>"LOCKNEY INDEP SCHOOL DISTRICT"</f>
        <v>LOCKNEY INDEP SCHOOL DISTRICT</v>
      </c>
      <c r="D1107" t="s">
        <v>11</v>
      </c>
      <c r="E1107" t="s">
        <v>913</v>
      </c>
      <c r="F1107" t="s">
        <v>914</v>
      </c>
      <c r="G1107">
        <v>79241</v>
      </c>
      <c r="H1107">
        <v>2010</v>
      </c>
      <c r="I1107" s="1">
        <v>7956</v>
      </c>
      <c r="J1107" s="1">
        <v>9360</v>
      </c>
      <c r="K1107" s="1">
        <v>7956</v>
      </c>
    </row>
    <row r="1108" spans="1:11" x14ac:dyDescent="0.35">
      <c r="A1108">
        <v>745355</v>
      </c>
      <c r="B1108">
        <v>2012009</v>
      </c>
      <c r="C1108" t="str">
        <f>"LOCKNEY INDEP SCHOOL DISTRICT"</f>
        <v>LOCKNEY INDEP SCHOOL DISTRICT</v>
      </c>
      <c r="D1108" t="s">
        <v>11</v>
      </c>
      <c r="E1108" t="s">
        <v>913</v>
      </c>
      <c r="F1108" t="s">
        <v>914</v>
      </c>
      <c r="G1108">
        <v>79241</v>
      </c>
      <c r="H1108">
        <v>2010</v>
      </c>
      <c r="I1108" s="1">
        <v>6120</v>
      </c>
      <c r="J1108" s="1">
        <v>7200</v>
      </c>
      <c r="K1108" s="1">
        <v>6120</v>
      </c>
    </row>
    <row r="1109" spans="1:11" x14ac:dyDescent="0.35">
      <c r="A1109">
        <v>720504</v>
      </c>
      <c r="B1109">
        <v>1954928</v>
      </c>
      <c r="C1109" t="str">
        <f>"LOHN INDEP SCHOOL DISTRICT"</f>
        <v>LOHN INDEP SCHOOL DISTRICT</v>
      </c>
      <c r="D1109" t="s">
        <v>11</v>
      </c>
      <c r="E1109" t="s">
        <v>915</v>
      </c>
      <c r="F1109" t="s">
        <v>916</v>
      </c>
      <c r="G1109">
        <v>76852</v>
      </c>
      <c r="H1109">
        <v>2010</v>
      </c>
      <c r="I1109" s="1">
        <v>2544</v>
      </c>
      <c r="J1109" s="1">
        <v>3180</v>
      </c>
      <c r="K1109" s="1">
        <v>2544</v>
      </c>
    </row>
    <row r="1110" spans="1:11" x14ac:dyDescent="0.35">
      <c r="A1110">
        <v>730369</v>
      </c>
      <c r="B1110">
        <v>1975361</v>
      </c>
      <c r="C1110" t="str">
        <f>"LOMETA INDEP SCHOOL DISTRICT"</f>
        <v>LOMETA INDEP SCHOOL DISTRICT</v>
      </c>
      <c r="D1110" t="s">
        <v>11</v>
      </c>
      <c r="E1110" t="s">
        <v>917</v>
      </c>
      <c r="F1110" t="s">
        <v>918</v>
      </c>
      <c r="G1110">
        <v>76853</v>
      </c>
      <c r="H1110">
        <v>2010</v>
      </c>
      <c r="I1110" s="1">
        <v>5950.8</v>
      </c>
      <c r="J1110" s="1">
        <v>6612</v>
      </c>
      <c r="K1110" s="1">
        <v>5950.8</v>
      </c>
    </row>
    <row r="1111" spans="1:11" x14ac:dyDescent="0.35">
      <c r="A1111">
        <v>731739</v>
      </c>
      <c r="B1111">
        <v>1979239</v>
      </c>
      <c r="C1111" t="str">
        <f>"LONDON INDEP SCHOOL DISTRICT"</f>
        <v>LONDON INDEP SCHOOL DISTRICT</v>
      </c>
      <c r="D1111" t="s">
        <v>11</v>
      </c>
      <c r="E1111" t="s">
        <v>919</v>
      </c>
      <c r="F1111" t="s">
        <v>232</v>
      </c>
      <c r="G1111">
        <v>78415</v>
      </c>
      <c r="H1111">
        <v>2010</v>
      </c>
      <c r="I1111" s="1">
        <v>4902</v>
      </c>
      <c r="J1111" s="1">
        <v>15480</v>
      </c>
      <c r="K1111" s="1">
        <v>2815.16</v>
      </c>
    </row>
    <row r="1112" spans="1:11" x14ac:dyDescent="0.35">
      <c r="A1112">
        <v>731739</v>
      </c>
      <c r="B1112">
        <v>1979174</v>
      </c>
      <c r="C1112" t="str">
        <f>"LONDON INDEP SCHOOL DISTRICT"</f>
        <v>LONDON INDEP SCHOOL DISTRICT</v>
      </c>
      <c r="D1112" t="s">
        <v>11</v>
      </c>
      <c r="E1112" t="s">
        <v>919</v>
      </c>
      <c r="F1112" t="s">
        <v>232</v>
      </c>
      <c r="G1112">
        <v>78415</v>
      </c>
      <c r="H1112">
        <v>2010</v>
      </c>
      <c r="I1112" s="1">
        <v>156.18</v>
      </c>
      <c r="J1112" s="1">
        <v>493.22</v>
      </c>
      <c r="K1112" s="1">
        <v>156.18</v>
      </c>
    </row>
    <row r="1113" spans="1:11" x14ac:dyDescent="0.35">
      <c r="A1113">
        <v>745191</v>
      </c>
      <c r="B1113">
        <v>2012673</v>
      </c>
      <c r="C1113" t="str">
        <f>"LONE OAK INDEP SCHOOL DISTRICT"</f>
        <v>LONE OAK INDEP SCHOOL DISTRICT</v>
      </c>
      <c r="D1113" t="s">
        <v>11</v>
      </c>
      <c r="E1113" t="s">
        <v>920</v>
      </c>
      <c r="F1113" t="s">
        <v>921</v>
      </c>
      <c r="G1113">
        <v>75453</v>
      </c>
      <c r="H1113">
        <v>2010</v>
      </c>
      <c r="I1113" s="1">
        <v>8537.9699999999993</v>
      </c>
      <c r="J1113" s="1">
        <v>14978.9</v>
      </c>
      <c r="K1113" s="1">
        <v>8537.9699999999993</v>
      </c>
    </row>
    <row r="1114" spans="1:11" x14ac:dyDescent="0.35">
      <c r="A1114">
        <v>704023</v>
      </c>
      <c r="B1114">
        <v>1977060</v>
      </c>
      <c r="C1114" t="str">
        <f>"LONGVIEW INDEP SCHOOL DISTRICT"</f>
        <v>LONGVIEW INDEP SCHOOL DISTRICT</v>
      </c>
      <c r="D1114" t="s">
        <v>11</v>
      </c>
      <c r="E1114" t="s">
        <v>922</v>
      </c>
      <c r="F1114" t="s">
        <v>923</v>
      </c>
      <c r="G1114">
        <v>75602</v>
      </c>
      <c r="H1114">
        <v>2010</v>
      </c>
      <c r="I1114" s="1">
        <v>39744</v>
      </c>
      <c r="J1114" s="1">
        <v>55200</v>
      </c>
      <c r="K1114" s="1">
        <v>39722.269999999997</v>
      </c>
    </row>
    <row r="1115" spans="1:11" x14ac:dyDescent="0.35">
      <c r="A1115">
        <v>747645</v>
      </c>
      <c r="B1115">
        <v>2056950</v>
      </c>
      <c r="C1115" t="str">
        <f>"LOOP INDEP SCHOOL DISTRICT"</f>
        <v>LOOP INDEP SCHOOL DISTRICT</v>
      </c>
      <c r="D1115" t="s">
        <v>11</v>
      </c>
      <c r="E1115" t="s">
        <v>924</v>
      </c>
      <c r="F1115" t="s">
        <v>925</v>
      </c>
      <c r="G1115">
        <v>79342</v>
      </c>
      <c r="H1115">
        <v>2010</v>
      </c>
      <c r="I1115" s="1">
        <v>5520</v>
      </c>
      <c r="J1115" s="1">
        <v>6900</v>
      </c>
      <c r="K1115" s="1">
        <v>4140</v>
      </c>
    </row>
    <row r="1116" spans="1:11" x14ac:dyDescent="0.35">
      <c r="A1116">
        <v>747208</v>
      </c>
      <c r="B1116">
        <v>2017824</v>
      </c>
      <c r="C1116" t="str">
        <f>"LORENA INDEP SCHOOL DISTRICT"</f>
        <v>LORENA INDEP SCHOOL DISTRICT</v>
      </c>
      <c r="D1116" t="s">
        <v>11</v>
      </c>
      <c r="E1116" t="s">
        <v>926</v>
      </c>
      <c r="F1116" t="s">
        <v>927</v>
      </c>
      <c r="G1116">
        <v>76655</v>
      </c>
      <c r="H1116">
        <v>2010</v>
      </c>
      <c r="I1116" s="1">
        <v>10665.24</v>
      </c>
      <c r="J1116" s="1">
        <v>22692</v>
      </c>
      <c r="K1116" s="1">
        <v>10665.24</v>
      </c>
    </row>
    <row r="1117" spans="1:11" x14ac:dyDescent="0.35">
      <c r="A1117">
        <v>747208</v>
      </c>
      <c r="B1117">
        <v>2035616</v>
      </c>
      <c r="C1117" t="str">
        <f>"LORENA INDEP SCHOOL DISTRICT"</f>
        <v>LORENA INDEP SCHOOL DISTRICT</v>
      </c>
      <c r="D1117" t="s">
        <v>11</v>
      </c>
      <c r="E1117" t="s">
        <v>926</v>
      </c>
      <c r="F1117" t="s">
        <v>927</v>
      </c>
      <c r="G1117">
        <v>76655</v>
      </c>
      <c r="H1117">
        <v>2010</v>
      </c>
      <c r="I1117" s="1">
        <v>408.9</v>
      </c>
      <c r="J1117" s="1">
        <v>870</v>
      </c>
      <c r="K1117" s="1">
        <v>408.9</v>
      </c>
    </row>
    <row r="1118" spans="1:11" x14ac:dyDescent="0.35">
      <c r="A1118">
        <v>764354</v>
      </c>
      <c r="B1118">
        <v>2065422</v>
      </c>
      <c r="C1118" t="str">
        <f>"LORENZO INDEP SCHOOL DISTRICT"</f>
        <v>LORENZO INDEP SCHOOL DISTRICT</v>
      </c>
      <c r="D1118" t="s">
        <v>11</v>
      </c>
      <c r="E1118" t="s">
        <v>928</v>
      </c>
      <c r="F1118" t="s">
        <v>929</v>
      </c>
      <c r="G1118">
        <v>79343</v>
      </c>
      <c r="H1118">
        <v>2010</v>
      </c>
      <c r="I1118" s="1">
        <v>8305.2000000000007</v>
      </c>
      <c r="J1118" s="1">
        <v>9228</v>
      </c>
      <c r="K1118" s="1">
        <v>8305.2000000000007</v>
      </c>
    </row>
    <row r="1119" spans="1:11" x14ac:dyDescent="0.35">
      <c r="A1119">
        <v>764354</v>
      </c>
      <c r="B1119">
        <v>2065464</v>
      </c>
      <c r="C1119" t="str">
        <f>"LORENZO INDEP SCHOOL DISTRICT"</f>
        <v>LORENZO INDEP SCHOOL DISTRICT</v>
      </c>
      <c r="D1119" t="s">
        <v>11</v>
      </c>
      <c r="E1119" t="s">
        <v>928</v>
      </c>
      <c r="F1119" t="s">
        <v>929</v>
      </c>
      <c r="G1119">
        <v>79343</v>
      </c>
      <c r="H1119">
        <v>2010</v>
      </c>
      <c r="I1119" s="1">
        <v>746.42</v>
      </c>
      <c r="J1119" s="1">
        <v>829.35</v>
      </c>
      <c r="K1119" s="1">
        <v>746.42</v>
      </c>
    </row>
    <row r="1120" spans="1:11" x14ac:dyDescent="0.35">
      <c r="A1120">
        <v>764354</v>
      </c>
      <c r="B1120">
        <v>2065441</v>
      </c>
      <c r="C1120" t="str">
        <f>"LORENZO INDEP SCHOOL DISTRICT"</f>
        <v>LORENZO INDEP SCHOOL DISTRICT</v>
      </c>
      <c r="D1120" t="s">
        <v>11</v>
      </c>
      <c r="E1120" t="s">
        <v>928</v>
      </c>
      <c r="F1120" t="s">
        <v>929</v>
      </c>
      <c r="G1120">
        <v>79343</v>
      </c>
      <c r="H1120">
        <v>2010</v>
      </c>
      <c r="I1120" s="1">
        <v>12330.14</v>
      </c>
      <c r="J1120" s="1">
        <v>13700.16</v>
      </c>
      <c r="K1120" s="1">
        <v>11693.4</v>
      </c>
    </row>
    <row r="1121" spans="1:11" x14ac:dyDescent="0.35">
      <c r="A1121">
        <v>768108</v>
      </c>
      <c r="B1121">
        <v>2077772</v>
      </c>
      <c r="C1121" t="str">
        <f>"LORETTO ACADEMY SCHOOL DISTRICT"</f>
        <v>LORETTO ACADEMY SCHOOL DISTRICT</v>
      </c>
      <c r="D1121" t="s">
        <v>11</v>
      </c>
      <c r="E1121" t="s">
        <v>930</v>
      </c>
      <c r="F1121" t="s">
        <v>220</v>
      </c>
      <c r="G1121">
        <v>79903</v>
      </c>
      <c r="H1121">
        <v>2010</v>
      </c>
      <c r="I1121" s="1">
        <v>1815.48</v>
      </c>
      <c r="J1121" s="1">
        <v>9077.4</v>
      </c>
    </row>
    <row r="1122" spans="1:11" x14ac:dyDescent="0.35">
      <c r="A1122">
        <v>768146</v>
      </c>
      <c r="B1122">
        <v>2077131</v>
      </c>
      <c r="C1122" t="str">
        <f>"LOS FRESNOS CONS IND SCH DIST"</f>
        <v>LOS FRESNOS CONS IND SCH DIST</v>
      </c>
      <c r="D1122" t="s">
        <v>11</v>
      </c>
      <c r="E1122" t="s">
        <v>931</v>
      </c>
      <c r="F1122" t="s">
        <v>932</v>
      </c>
      <c r="G1122">
        <v>78566</v>
      </c>
      <c r="H1122">
        <v>2010</v>
      </c>
      <c r="I1122" s="1">
        <v>0</v>
      </c>
      <c r="J1122" s="1">
        <v>0</v>
      </c>
    </row>
    <row r="1123" spans="1:11" x14ac:dyDescent="0.35">
      <c r="A1123">
        <v>768194</v>
      </c>
      <c r="B1123">
        <v>2077322</v>
      </c>
      <c r="C1123" t="str">
        <f>"LOS FRESNOS CONS IND SCH DIST"</f>
        <v>LOS FRESNOS CONS IND SCH DIST</v>
      </c>
      <c r="D1123" t="s">
        <v>11</v>
      </c>
      <c r="E1123" t="s">
        <v>931</v>
      </c>
      <c r="F1123" t="s">
        <v>932</v>
      </c>
      <c r="G1123">
        <v>78566</v>
      </c>
      <c r="H1123">
        <v>2010</v>
      </c>
      <c r="I1123" s="1">
        <v>12012</v>
      </c>
      <c r="J1123" s="1">
        <v>13650</v>
      </c>
      <c r="K1123" s="1">
        <v>12012</v>
      </c>
    </row>
    <row r="1124" spans="1:11" x14ac:dyDescent="0.35">
      <c r="A1124">
        <v>768194</v>
      </c>
      <c r="B1124">
        <v>2077323</v>
      </c>
      <c r="C1124" t="str">
        <f>"LOS FRESNOS CONS IND SCH DIST"</f>
        <v>LOS FRESNOS CONS IND SCH DIST</v>
      </c>
      <c r="D1124" t="s">
        <v>11</v>
      </c>
      <c r="E1124" t="s">
        <v>931</v>
      </c>
      <c r="F1124" t="s">
        <v>932</v>
      </c>
      <c r="G1124">
        <v>78566</v>
      </c>
      <c r="H1124">
        <v>2010</v>
      </c>
      <c r="I1124" s="1">
        <v>8684.7199999999993</v>
      </c>
      <c r="J1124" s="1">
        <v>9869</v>
      </c>
      <c r="K1124" s="1">
        <v>8684.7199999999993</v>
      </c>
    </row>
    <row r="1125" spans="1:11" x14ac:dyDescent="0.35">
      <c r="A1125">
        <v>735028</v>
      </c>
      <c r="B1125">
        <v>1986446</v>
      </c>
      <c r="C1125" t="str">
        <f>"LOUISE INDEP SCHOOL DISTRICT"</f>
        <v>LOUISE INDEP SCHOOL DISTRICT</v>
      </c>
      <c r="D1125" t="s">
        <v>11</v>
      </c>
      <c r="E1125" t="s">
        <v>933</v>
      </c>
      <c r="F1125" t="s">
        <v>934</v>
      </c>
      <c r="G1125">
        <v>77455</v>
      </c>
      <c r="H1125">
        <v>2010</v>
      </c>
      <c r="I1125" s="1">
        <v>9240</v>
      </c>
      <c r="J1125" s="1">
        <v>12000</v>
      </c>
      <c r="K1125" s="1">
        <v>9240</v>
      </c>
    </row>
    <row r="1126" spans="1:11" x14ac:dyDescent="0.35">
      <c r="A1126">
        <v>735028</v>
      </c>
      <c r="B1126">
        <v>1986467</v>
      </c>
      <c r="C1126" t="str">
        <f>"LOUISE INDEP SCHOOL DISTRICT"</f>
        <v>LOUISE INDEP SCHOOL DISTRICT</v>
      </c>
      <c r="D1126" t="s">
        <v>11</v>
      </c>
      <c r="E1126" t="s">
        <v>933</v>
      </c>
      <c r="F1126" t="s">
        <v>934</v>
      </c>
      <c r="G1126">
        <v>77455</v>
      </c>
      <c r="H1126">
        <v>2010</v>
      </c>
      <c r="I1126" s="1">
        <v>6930</v>
      </c>
      <c r="J1126" s="1">
        <v>9000</v>
      </c>
      <c r="K1126" s="1">
        <v>6314</v>
      </c>
    </row>
    <row r="1127" spans="1:11" x14ac:dyDescent="0.35">
      <c r="A1127">
        <v>703968</v>
      </c>
      <c r="B1127">
        <v>2014334</v>
      </c>
      <c r="C1127" t="str">
        <f>"LOVEJOY INDEP SCHOOL DISTRICT"</f>
        <v>LOVEJOY INDEP SCHOOL DISTRICT</v>
      </c>
      <c r="D1127" t="s">
        <v>11</v>
      </c>
      <c r="E1127" t="s">
        <v>935</v>
      </c>
      <c r="F1127" t="s">
        <v>36</v>
      </c>
      <c r="G1127">
        <v>75002</v>
      </c>
      <c r="H1127">
        <v>2010</v>
      </c>
      <c r="I1127" s="1">
        <v>9633.36</v>
      </c>
      <c r="J1127" s="1">
        <v>24083.4</v>
      </c>
      <c r="K1127" s="1">
        <v>9623.52</v>
      </c>
    </row>
    <row r="1128" spans="1:11" x14ac:dyDescent="0.35">
      <c r="A1128">
        <v>746222</v>
      </c>
      <c r="B1128">
        <v>2014111</v>
      </c>
      <c r="C1128" t="str">
        <f>"LOVELADY INDEP SCHOOL DISTRICT"</f>
        <v>LOVELADY INDEP SCHOOL DISTRICT</v>
      </c>
      <c r="D1128" t="s">
        <v>11</v>
      </c>
      <c r="E1128" t="s">
        <v>936</v>
      </c>
      <c r="F1128" t="s">
        <v>937</v>
      </c>
      <c r="G1128">
        <v>75851</v>
      </c>
      <c r="H1128">
        <v>2010</v>
      </c>
      <c r="I1128" s="1">
        <v>17725.5</v>
      </c>
      <c r="J1128" s="1">
        <v>27270</v>
      </c>
      <c r="K1128" s="1">
        <v>13294.13</v>
      </c>
    </row>
    <row r="1129" spans="1:11" x14ac:dyDescent="0.35">
      <c r="A1129">
        <v>732158</v>
      </c>
      <c r="B1129">
        <v>1979986</v>
      </c>
      <c r="C1129" t="str">
        <f>"LOVELADY INDEP SCHOOL DISTRICT"</f>
        <v>LOVELADY INDEP SCHOOL DISTRICT</v>
      </c>
      <c r="D1129" t="s">
        <v>11</v>
      </c>
      <c r="E1129" t="s">
        <v>936</v>
      </c>
      <c r="F1129" t="s">
        <v>937</v>
      </c>
      <c r="G1129">
        <v>75851</v>
      </c>
      <c r="H1129">
        <v>2010</v>
      </c>
      <c r="I1129" s="1">
        <v>6534.06</v>
      </c>
      <c r="J1129" s="1">
        <v>10052.4</v>
      </c>
      <c r="K1129" s="1">
        <v>5525</v>
      </c>
    </row>
    <row r="1130" spans="1:11" x14ac:dyDescent="0.35">
      <c r="A1130">
        <v>709154</v>
      </c>
      <c r="B1130">
        <v>1980489</v>
      </c>
      <c r="C1130" t="str">
        <f>"LUBBOCK ISD"</f>
        <v>LUBBOCK ISD</v>
      </c>
      <c r="D1130" t="s">
        <v>11</v>
      </c>
      <c r="E1130" t="s">
        <v>938</v>
      </c>
      <c r="F1130" t="s">
        <v>490</v>
      </c>
      <c r="G1130">
        <v>79401</v>
      </c>
      <c r="H1130">
        <v>2010</v>
      </c>
      <c r="I1130" s="1">
        <v>3250.08</v>
      </c>
      <c r="J1130" s="1">
        <v>4392</v>
      </c>
    </row>
    <row r="1131" spans="1:11" x14ac:dyDescent="0.35">
      <c r="A1131">
        <v>709154</v>
      </c>
      <c r="B1131">
        <v>1980441</v>
      </c>
      <c r="C1131" t="str">
        <f>"LUBBOCK ISD"</f>
        <v>LUBBOCK ISD</v>
      </c>
      <c r="D1131" t="s">
        <v>11</v>
      </c>
      <c r="E1131" t="s">
        <v>938</v>
      </c>
      <c r="F1131" t="s">
        <v>490</v>
      </c>
      <c r="G1131">
        <v>79401</v>
      </c>
      <c r="H1131">
        <v>2010</v>
      </c>
      <c r="I1131" s="1">
        <v>33300</v>
      </c>
      <c r="J1131" s="1">
        <v>45000</v>
      </c>
      <c r="K1131" s="1">
        <v>26720.19</v>
      </c>
    </row>
    <row r="1132" spans="1:11" x14ac:dyDescent="0.35">
      <c r="A1132">
        <v>709154</v>
      </c>
      <c r="B1132">
        <v>1980168</v>
      </c>
      <c r="C1132" t="str">
        <f>"LUBBOCK ISD"</f>
        <v>LUBBOCK ISD</v>
      </c>
      <c r="D1132" t="s">
        <v>11</v>
      </c>
      <c r="E1132" t="s">
        <v>938</v>
      </c>
      <c r="F1132" t="s">
        <v>490</v>
      </c>
      <c r="G1132">
        <v>79401</v>
      </c>
      <c r="H1132">
        <v>2010</v>
      </c>
      <c r="I1132" s="1">
        <v>49116.33</v>
      </c>
      <c r="J1132" s="1">
        <v>66373.42</v>
      </c>
      <c r="K1132" s="1">
        <v>49116.33</v>
      </c>
    </row>
    <row r="1133" spans="1:11" x14ac:dyDescent="0.35">
      <c r="A1133">
        <v>724196</v>
      </c>
      <c r="B1133">
        <v>1962274</v>
      </c>
      <c r="C1133" t="str">
        <f>"LUFKIN INDEP SCHOOL DISTRICT"</f>
        <v>LUFKIN INDEP SCHOOL DISTRICT</v>
      </c>
      <c r="D1133" t="s">
        <v>11</v>
      </c>
      <c r="E1133" t="s">
        <v>939</v>
      </c>
      <c r="F1133" t="s">
        <v>721</v>
      </c>
      <c r="G1133">
        <v>75902</v>
      </c>
      <c r="H1133">
        <v>2010</v>
      </c>
      <c r="I1133" s="1">
        <v>68332.320000000007</v>
      </c>
      <c r="J1133" s="1">
        <v>81348</v>
      </c>
      <c r="K1133" s="1">
        <v>67501.73</v>
      </c>
    </row>
    <row r="1134" spans="1:11" x14ac:dyDescent="0.35">
      <c r="A1134">
        <v>724196</v>
      </c>
      <c r="B1134">
        <v>1962308</v>
      </c>
      <c r="C1134" t="str">
        <f>"LUFKIN INDEP SCHOOL DISTRICT"</f>
        <v>LUFKIN INDEP SCHOOL DISTRICT</v>
      </c>
      <c r="D1134" t="s">
        <v>11</v>
      </c>
      <c r="E1134" t="s">
        <v>939</v>
      </c>
      <c r="F1134" t="s">
        <v>721</v>
      </c>
      <c r="G1134">
        <v>75902</v>
      </c>
      <c r="H1134">
        <v>2010</v>
      </c>
      <c r="I1134" s="1">
        <v>0</v>
      </c>
      <c r="J1134" s="1">
        <v>0</v>
      </c>
    </row>
    <row r="1135" spans="1:11" x14ac:dyDescent="0.35">
      <c r="A1135">
        <v>724196</v>
      </c>
      <c r="B1135">
        <v>1962325</v>
      </c>
      <c r="C1135" t="str">
        <f>"LUFKIN INDEP SCHOOL DISTRICT"</f>
        <v>LUFKIN INDEP SCHOOL DISTRICT</v>
      </c>
      <c r="D1135" t="s">
        <v>11</v>
      </c>
      <c r="E1135" t="s">
        <v>939</v>
      </c>
      <c r="F1135" t="s">
        <v>721</v>
      </c>
      <c r="G1135">
        <v>75902</v>
      </c>
      <c r="H1135">
        <v>2010</v>
      </c>
      <c r="I1135" s="1">
        <v>0</v>
      </c>
      <c r="J1135" s="1">
        <v>0</v>
      </c>
    </row>
    <row r="1136" spans="1:11" x14ac:dyDescent="0.35">
      <c r="A1136">
        <v>728881</v>
      </c>
      <c r="B1136">
        <v>2003640</v>
      </c>
      <c r="C1136" t="str">
        <f>"LULING INDEP SCHOOL DISTRICT"</f>
        <v>LULING INDEP SCHOOL DISTRICT</v>
      </c>
      <c r="D1136" t="s">
        <v>11</v>
      </c>
      <c r="E1136" t="s">
        <v>940</v>
      </c>
      <c r="F1136" t="s">
        <v>941</v>
      </c>
      <c r="G1136">
        <v>78648</v>
      </c>
      <c r="H1136">
        <v>2010</v>
      </c>
      <c r="I1136" s="1">
        <v>1440.86</v>
      </c>
      <c r="J1136" s="1">
        <v>1871.25</v>
      </c>
      <c r="K1136" s="1">
        <v>1440.86</v>
      </c>
    </row>
    <row r="1137" spans="1:11" x14ac:dyDescent="0.35">
      <c r="A1137">
        <v>728881</v>
      </c>
      <c r="B1137">
        <v>1972062</v>
      </c>
      <c r="C1137" t="str">
        <f>"LULING INDEP SCHOOL DISTRICT"</f>
        <v>LULING INDEP SCHOOL DISTRICT</v>
      </c>
      <c r="D1137" t="s">
        <v>11</v>
      </c>
      <c r="E1137" t="s">
        <v>940</v>
      </c>
      <c r="F1137" t="s">
        <v>941</v>
      </c>
      <c r="G1137">
        <v>78648</v>
      </c>
      <c r="H1137">
        <v>2010</v>
      </c>
      <c r="I1137" s="1">
        <v>22638</v>
      </c>
      <c r="J1137" s="1">
        <v>29400</v>
      </c>
      <c r="K1137" s="1">
        <v>22638</v>
      </c>
    </row>
    <row r="1138" spans="1:11" x14ac:dyDescent="0.35">
      <c r="A1138">
        <v>732476</v>
      </c>
      <c r="B1138">
        <v>1980911</v>
      </c>
      <c r="C1138" t="str">
        <f>"LUMBERTON INDEP SCHOOL DIST"</f>
        <v>LUMBERTON INDEP SCHOOL DIST</v>
      </c>
      <c r="D1138" t="s">
        <v>11</v>
      </c>
      <c r="E1138" t="s">
        <v>942</v>
      </c>
      <c r="F1138" t="s">
        <v>943</v>
      </c>
      <c r="G1138">
        <v>77657</v>
      </c>
      <c r="H1138">
        <v>2010</v>
      </c>
      <c r="I1138" s="1">
        <v>3229.59</v>
      </c>
      <c r="J1138" s="1">
        <v>6210.75</v>
      </c>
      <c r="K1138" s="1">
        <v>3229.59</v>
      </c>
    </row>
    <row r="1139" spans="1:11" x14ac:dyDescent="0.35">
      <c r="A1139">
        <v>732476</v>
      </c>
      <c r="B1139">
        <v>1980906</v>
      </c>
      <c r="C1139" t="str">
        <f>"LUMBERTON INDEP SCHOOL DIST"</f>
        <v>LUMBERTON INDEP SCHOOL DIST</v>
      </c>
      <c r="D1139" t="s">
        <v>11</v>
      </c>
      <c r="E1139" t="s">
        <v>942</v>
      </c>
      <c r="F1139" t="s">
        <v>943</v>
      </c>
      <c r="G1139">
        <v>77657</v>
      </c>
      <c r="H1139">
        <v>2010</v>
      </c>
      <c r="I1139" s="1">
        <v>3246.88</v>
      </c>
      <c r="J1139" s="1">
        <v>6244</v>
      </c>
      <c r="K1139" s="1">
        <v>3246.88</v>
      </c>
    </row>
    <row r="1140" spans="1:11" x14ac:dyDescent="0.35">
      <c r="A1140">
        <v>755528</v>
      </c>
      <c r="B1140">
        <v>2041973</v>
      </c>
      <c r="C1140" t="str">
        <f>"LUTHERAN HIGH SCH ASSOCIATION"</f>
        <v>LUTHERAN HIGH SCH ASSOCIATION</v>
      </c>
      <c r="D1140" t="s">
        <v>11</v>
      </c>
      <c r="E1140" t="s">
        <v>944</v>
      </c>
      <c r="F1140" t="s">
        <v>29</v>
      </c>
      <c r="G1140">
        <v>77034</v>
      </c>
      <c r="H1140">
        <v>2010</v>
      </c>
      <c r="I1140" s="1">
        <v>0</v>
      </c>
      <c r="J1140" s="1">
        <v>0</v>
      </c>
    </row>
    <row r="1141" spans="1:11" x14ac:dyDescent="0.35">
      <c r="A1141">
        <v>735335</v>
      </c>
      <c r="B1141">
        <v>1988455</v>
      </c>
      <c r="C1141" t="str">
        <f>"LYFORD INDEP SCHOOL DISTRICT"</f>
        <v>LYFORD INDEP SCHOOL DISTRICT</v>
      </c>
      <c r="D1141" t="s">
        <v>11</v>
      </c>
      <c r="E1141" t="s">
        <v>945</v>
      </c>
      <c r="F1141" t="s">
        <v>946</v>
      </c>
      <c r="G1141">
        <v>78569</v>
      </c>
      <c r="H1141">
        <v>2010</v>
      </c>
      <c r="I1141" s="1">
        <v>2835.86</v>
      </c>
      <c r="J1141" s="1">
        <v>3150.96</v>
      </c>
      <c r="K1141" s="1">
        <v>2835.86</v>
      </c>
    </row>
    <row r="1142" spans="1:11" x14ac:dyDescent="0.35">
      <c r="A1142">
        <v>735335</v>
      </c>
      <c r="B1142">
        <v>1988439</v>
      </c>
      <c r="C1142" t="str">
        <f>"LYFORD INDEP SCHOOL DISTRICT"</f>
        <v>LYFORD INDEP SCHOOL DISTRICT</v>
      </c>
      <c r="D1142" t="s">
        <v>11</v>
      </c>
      <c r="E1142" t="s">
        <v>945</v>
      </c>
      <c r="F1142" t="s">
        <v>946</v>
      </c>
      <c r="G1142">
        <v>78569</v>
      </c>
      <c r="H1142">
        <v>2010</v>
      </c>
      <c r="I1142" s="1">
        <v>30132</v>
      </c>
      <c r="J1142" s="1">
        <v>33480</v>
      </c>
      <c r="K1142" s="1">
        <v>30132</v>
      </c>
    </row>
    <row r="1143" spans="1:11" x14ac:dyDescent="0.35">
      <c r="A1143">
        <v>739470</v>
      </c>
      <c r="B1143">
        <v>1997271</v>
      </c>
      <c r="C1143" t="str">
        <f>"LYFORD INDEP SCHOOL DISTRICT"</f>
        <v>LYFORD INDEP SCHOOL DISTRICT</v>
      </c>
      <c r="D1143" t="s">
        <v>11</v>
      </c>
      <c r="E1143" t="s">
        <v>945</v>
      </c>
      <c r="F1143" t="s">
        <v>946</v>
      </c>
      <c r="G1143">
        <v>78569</v>
      </c>
      <c r="H1143">
        <v>2010</v>
      </c>
      <c r="I1143" s="1">
        <v>1856.2</v>
      </c>
      <c r="J1143" s="1">
        <v>2062.44</v>
      </c>
      <c r="K1143" s="1">
        <v>1856.2</v>
      </c>
    </row>
    <row r="1144" spans="1:11" x14ac:dyDescent="0.35">
      <c r="A1144">
        <v>739005</v>
      </c>
      <c r="B1144">
        <v>1996550</v>
      </c>
      <c r="C1144" t="str">
        <f t="shared" ref="C1144:C1149" si="17">"LYTLE INDEP SCHOOL DISTRICT"</f>
        <v>LYTLE INDEP SCHOOL DISTRICT</v>
      </c>
      <c r="D1144" t="s">
        <v>11</v>
      </c>
      <c r="E1144" t="s">
        <v>947</v>
      </c>
      <c r="F1144" t="s">
        <v>948</v>
      </c>
      <c r="G1144">
        <v>78052</v>
      </c>
      <c r="H1144">
        <v>2010</v>
      </c>
      <c r="I1144" s="1">
        <v>3936</v>
      </c>
      <c r="J1144" s="1">
        <v>4800</v>
      </c>
      <c r="K1144" s="1">
        <v>3936</v>
      </c>
    </row>
    <row r="1145" spans="1:11" x14ac:dyDescent="0.35">
      <c r="A1145">
        <v>719003</v>
      </c>
      <c r="B1145">
        <v>1971004</v>
      </c>
      <c r="C1145" t="str">
        <f t="shared" si="17"/>
        <v>LYTLE INDEP SCHOOL DISTRICT</v>
      </c>
      <c r="D1145" t="s">
        <v>11</v>
      </c>
      <c r="E1145" t="s">
        <v>947</v>
      </c>
      <c r="F1145" t="s">
        <v>948</v>
      </c>
      <c r="G1145">
        <v>78052</v>
      </c>
      <c r="H1145">
        <v>2010</v>
      </c>
      <c r="I1145" s="1">
        <v>4329.6000000000004</v>
      </c>
      <c r="J1145" s="1">
        <v>5280</v>
      </c>
      <c r="K1145" s="1">
        <v>4329.6000000000004</v>
      </c>
    </row>
    <row r="1146" spans="1:11" x14ac:dyDescent="0.35">
      <c r="A1146">
        <v>717803</v>
      </c>
      <c r="B1146">
        <v>1951026</v>
      </c>
      <c r="C1146" t="str">
        <f t="shared" si="17"/>
        <v>LYTLE INDEP SCHOOL DISTRICT</v>
      </c>
      <c r="D1146" t="s">
        <v>11</v>
      </c>
      <c r="E1146" t="s">
        <v>947</v>
      </c>
      <c r="F1146" t="s">
        <v>948</v>
      </c>
      <c r="G1146">
        <v>78052</v>
      </c>
      <c r="H1146">
        <v>2010</v>
      </c>
      <c r="I1146" s="1">
        <v>5264.4</v>
      </c>
      <c r="J1146" s="1">
        <v>6420</v>
      </c>
      <c r="K1146" s="1">
        <v>5160.09</v>
      </c>
    </row>
    <row r="1147" spans="1:11" x14ac:dyDescent="0.35">
      <c r="A1147">
        <v>717803</v>
      </c>
      <c r="B1147">
        <v>1951030</v>
      </c>
      <c r="C1147" t="str">
        <f t="shared" si="17"/>
        <v>LYTLE INDEP SCHOOL DISTRICT</v>
      </c>
      <c r="D1147" t="s">
        <v>11</v>
      </c>
      <c r="E1147" t="s">
        <v>947</v>
      </c>
      <c r="F1147" t="s">
        <v>948</v>
      </c>
      <c r="G1147">
        <v>78052</v>
      </c>
      <c r="H1147">
        <v>2010</v>
      </c>
      <c r="I1147" s="1">
        <v>18243.36</v>
      </c>
      <c r="J1147" s="1">
        <v>22248</v>
      </c>
      <c r="K1147" s="1">
        <v>18243.36</v>
      </c>
    </row>
    <row r="1148" spans="1:11" x14ac:dyDescent="0.35">
      <c r="A1148">
        <v>717803</v>
      </c>
      <c r="B1148">
        <v>1951033</v>
      </c>
      <c r="C1148" t="str">
        <f t="shared" si="17"/>
        <v>LYTLE INDEP SCHOOL DISTRICT</v>
      </c>
      <c r="D1148" t="s">
        <v>11</v>
      </c>
      <c r="E1148" t="s">
        <v>947</v>
      </c>
      <c r="F1148" t="s">
        <v>948</v>
      </c>
      <c r="G1148">
        <v>78052</v>
      </c>
      <c r="H1148">
        <v>2010</v>
      </c>
      <c r="I1148" s="1">
        <v>2558.4</v>
      </c>
      <c r="J1148" s="1">
        <v>3120</v>
      </c>
      <c r="K1148" s="1">
        <v>2558.4</v>
      </c>
    </row>
    <row r="1149" spans="1:11" x14ac:dyDescent="0.35">
      <c r="A1149">
        <v>739005</v>
      </c>
      <c r="B1149">
        <v>1996522</v>
      </c>
      <c r="C1149" t="str">
        <f t="shared" si="17"/>
        <v>LYTLE INDEP SCHOOL DISTRICT</v>
      </c>
      <c r="D1149" t="s">
        <v>11</v>
      </c>
      <c r="E1149" t="s">
        <v>947</v>
      </c>
      <c r="F1149" t="s">
        <v>948</v>
      </c>
      <c r="G1149">
        <v>78052</v>
      </c>
      <c r="H1149">
        <v>2010</v>
      </c>
      <c r="I1149" s="1">
        <v>3444</v>
      </c>
      <c r="J1149" s="1">
        <v>4200</v>
      </c>
      <c r="K1149" s="1">
        <v>3444</v>
      </c>
    </row>
    <row r="1150" spans="1:11" x14ac:dyDescent="0.35">
      <c r="A1150">
        <v>719948</v>
      </c>
      <c r="B1150">
        <v>2021405</v>
      </c>
      <c r="C1150" t="str">
        <f>"MABANK INDEP SCHOOL DISTRICT"</f>
        <v>MABANK INDEP SCHOOL DISTRICT</v>
      </c>
      <c r="D1150" t="s">
        <v>11</v>
      </c>
      <c r="E1150" t="s">
        <v>949</v>
      </c>
      <c r="F1150" t="s">
        <v>950</v>
      </c>
      <c r="G1150">
        <v>75147</v>
      </c>
      <c r="H1150">
        <v>2010</v>
      </c>
      <c r="I1150" s="1">
        <v>6337.2</v>
      </c>
      <c r="J1150" s="1">
        <v>11808</v>
      </c>
      <c r="K1150" s="1">
        <v>6337.2</v>
      </c>
    </row>
    <row r="1151" spans="1:11" x14ac:dyDescent="0.35">
      <c r="A1151">
        <v>721570</v>
      </c>
      <c r="B1151">
        <v>1957119</v>
      </c>
      <c r="C1151" t="str">
        <f>"MAGNOLIA INDEP SCHOOL DISTRICT"</f>
        <v>MAGNOLIA INDEP SCHOOL DISTRICT</v>
      </c>
      <c r="D1151" t="s">
        <v>11</v>
      </c>
      <c r="E1151" t="s">
        <v>951</v>
      </c>
      <c r="F1151" t="s">
        <v>952</v>
      </c>
      <c r="G1151">
        <v>77355</v>
      </c>
      <c r="H1151">
        <v>2010</v>
      </c>
      <c r="I1151" s="1">
        <v>5123.3</v>
      </c>
      <c r="J1151" s="1">
        <v>8398.85</v>
      </c>
      <c r="K1151" s="1">
        <v>5108.78</v>
      </c>
    </row>
    <row r="1152" spans="1:11" x14ac:dyDescent="0.35">
      <c r="A1152">
        <v>721570</v>
      </c>
      <c r="B1152">
        <v>1957122</v>
      </c>
      <c r="C1152" t="str">
        <f>"MAGNOLIA INDEP SCHOOL DISTRICT"</f>
        <v>MAGNOLIA INDEP SCHOOL DISTRICT</v>
      </c>
      <c r="D1152" t="s">
        <v>11</v>
      </c>
      <c r="E1152" t="s">
        <v>951</v>
      </c>
      <c r="F1152" t="s">
        <v>952</v>
      </c>
      <c r="G1152">
        <v>77355</v>
      </c>
      <c r="H1152">
        <v>2010</v>
      </c>
      <c r="I1152" s="1">
        <v>10782.82</v>
      </c>
      <c r="J1152" s="1">
        <v>17676.75</v>
      </c>
      <c r="K1152" s="1">
        <v>10782.82</v>
      </c>
    </row>
    <row r="1153" spans="1:11" x14ac:dyDescent="0.35">
      <c r="A1153">
        <v>721570</v>
      </c>
      <c r="B1153">
        <v>1957124</v>
      </c>
      <c r="C1153" t="str">
        <f>"MAGNOLIA INDEP SCHOOL DISTRICT"</f>
        <v>MAGNOLIA INDEP SCHOOL DISTRICT</v>
      </c>
      <c r="D1153" t="s">
        <v>11</v>
      </c>
      <c r="E1153" t="s">
        <v>951</v>
      </c>
      <c r="F1153" t="s">
        <v>952</v>
      </c>
      <c r="G1153">
        <v>77355</v>
      </c>
      <c r="H1153">
        <v>2010</v>
      </c>
      <c r="I1153" s="1">
        <v>24888</v>
      </c>
      <c r="J1153" s="1">
        <v>40800</v>
      </c>
      <c r="K1153" s="1">
        <v>22814</v>
      </c>
    </row>
    <row r="1154" spans="1:11" x14ac:dyDescent="0.35">
      <c r="A1154">
        <v>721570</v>
      </c>
      <c r="B1154">
        <v>1957121</v>
      </c>
      <c r="C1154" t="str">
        <f>"MAGNOLIA INDEP SCHOOL DISTRICT"</f>
        <v>MAGNOLIA INDEP SCHOOL DISTRICT</v>
      </c>
      <c r="D1154" t="s">
        <v>11</v>
      </c>
      <c r="E1154" t="s">
        <v>951</v>
      </c>
      <c r="F1154" t="s">
        <v>952</v>
      </c>
      <c r="G1154">
        <v>77355</v>
      </c>
      <c r="H1154">
        <v>2010</v>
      </c>
      <c r="I1154" s="1">
        <v>9607.5</v>
      </c>
      <c r="J1154" s="1">
        <v>15750</v>
      </c>
      <c r="K1154" s="1">
        <v>9607.5</v>
      </c>
    </row>
    <row r="1155" spans="1:11" x14ac:dyDescent="0.35">
      <c r="A1155">
        <v>721570</v>
      </c>
      <c r="B1155">
        <v>1957118</v>
      </c>
      <c r="C1155" t="str">
        <f>"MAGNOLIA INDEP SCHOOL DISTRICT"</f>
        <v>MAGNOLIA INDEP SCHOOL DISTRICT</v>
      </c>
      <c r="D1155" t="s">
        <v>11</v>
      </c>
      <c r="E1155" t="s">
        <v>951</v>
      </c>
      <c r="F1155" t="s">
        <v>952</v>
      </c>
      <c r="G1155">
        <v>77355</v>
      </c>
      <c r="H1155">
        <v>2010</v>
      </c>
      <c r="I1155" s="1">
        <v>299.75</v>
      </c>
      <c r="J1155" s="1">
        <v>491.4</v>
      </c>
      <c r="K1155" s="1">
        <v>299.75</v>
      </c>
    </row>
    <row r="1156" spans="1:11" x14ac:dyDescent="0.35">
      <c r="A1156">
        <v>743834</v>
      </c>
      <c r="B1156">
        <v>2008218</v>
      </c>
      <c r="C1156" t="str">
        <f>"MALAKOFF INDEP SCHOOL DISTRICT"</f>
        <v>MALAKOFF INDEP SCHOOL DISTRICT</v>
      </c>
      <c r="D1156" t="s">
        <v>11</v>
      </c>
      <c r="E1156" t="s">
        <v>953</v>
      </c>
      <c r="F1156" t="s">
        <v>386</v>
      </c>
      <c r="G1156">
        <v>75148</v>
      </c>
      <c r="H1156">
        <v>2010</v>
      </c>
      <c r="I1156" s="1">
        <v>0</v>
      </c>
      <c r="J1156" s="1">
        <v>0</v>
      </c>
    </row>
    <row r="1157" spans="1:11" x14ac:dyDescent="0.35">
      <c r="A1157">
        <v>748244</v>
      </c>
      <c r="B1157">
        <v>2020321</v>
      </c>
      <c r="C1157" t="str">
        <f>"MALAKOFF INDEP SCHOOL DISTRICT"</f>
        <v>MALAKOFF INDEP SCHOOL DISTRICT</v>
      </c>
      <c r="D1157" t="s">
        <v>11</v>
      </c>
      <c r="E1157" t="s">
        <v>953</v>
      </c>
      <c r="F1157" t="s">
        <v>386</v>
      </c>
      <c r="G1157">
        <v>75148</v>
      </c>
      <c r="H1157">
        <v>2010</v>
      </c>
      <c r="I1157" s="1">
        <v>9680</v>
      </c>
      <c r="J1157" s="1">
        <v>12100</v>
      </c>
      <c r="K1157" s="1">
        <v>7680</v>
      </c>
    </row>
    <row r="1158" spans="1:11" x14ac:dyDescent="0.35">
      <c r="A1158">
        <v>741487</v>
      </c>
      <c r="B1158">
        <v>2003441</v>
      </c>
      <c r="C1158" t="str">
        <f>"MALONE INDEP SCHOOL DISTRICT"</f>
        <v>MALONE INDEP SCHOOL DISTRICT</v>
      </c>
      <c r="D1158" t="s">
        <v>11</v>
      </c>
      <c r="E1158" t="s">
        <v>954</v>
      </c>
      <c r="F1158" t="s">
        <v>955</v>
      </c>
      <c r="G1158">
        <v>76660</v>
      </c>
      <c r="H1158">
        <v>2010</v>
      </c>
      <c r="I1158" s="1">
        <v>0</v>
      </c>
      <c r="J1158" s="1">
        <v>0</v>
      </c>
    </row>
    <row r="1159" spans="1:11" x14ac:dyDescent="0.35">
      <c r="A1159">
        <v>750503</v>
      </c>
      <c r="B1159">
        <v>2027169</v>
      </c>
      <c r="C1159" t="str">
        <f>"MALONE INDEP SCHOOL DISTRICT"</f>
        <v>MALONE INDEP SCHOOL DISTRICT</v>
      </c>
      <c r="D1159" t="s">
        <v>11</v>
      </c>
      <c r="E1159" t="s">
        <v>954</v>
      </c>
      <c r="F1159" t="s">
        <v>955</v>
      </c>
      <c r="G1159">
        <v>76660</v>
      </c>
      <c r="H1159">
        <v>2010</v>
      </c>
      <c r="I1159" s="1">
        <v>19170</v>
      </c>
      <c r="J1159" s="1">
        <v>21300</v>
      </c>
      <c r="K1159" s="1">
        <v>19170</v>
      </c>
    </row>
    <row r="1160" spans="1:11" x14ac:dyDescent="0.35">
      <c r="A1160">
        <v>708045</v>
      </c>
      <c r="B1160">
        <v>1936803</v>
      </c>
      <c r="C1160" t="str">
        <f>"MALTA INDEP SCHOOL DISTRICT"</f>
        <v>MALTA INDEP SCHOOL DISTRICT</v>
      </c>
      <c r="D1160" t="s">
        <v>11</v>
      </c>
      <c r="E1160" t="s">
        <v>956</v>
      </c>
      <c r="F1160" t="s">
        <v>957</v>
      </c>
      <c r="G1160">
        <v>75570</v>
      </c>
      <c r="H1160">
        <v>2010</v>
      </c>
      <c r="I1160" s="1">
        <v>522</v>
      </c>
      <c r="J1160" s="1">
        <v>870</v>
      </c>
      <c r="K1160" s="1">
        <v>522</v>
      </c>
    </row>
    <row r="1161" spans="1:11" x14ac:dyDescent="0.35">
      <c r="A1161">
        <v>765894</v>
      </c>
      <c r="B1161">
        <v>2070863</v>
      </c>
      <c r="C1161" t="str">
        <f>"MANOR INDEP SCHOOL DISTRICT"</f>
        <v>MANOR INDEP SCHOOL DISTRICT</v>
      </c>
      <c r="D1161" t="s">
        <v>11</v>
      </c>
      <c r="E1161" t="s">
        <v>958</v>
      </c>
      <c r="F1161" t="s">
        <v>959</v>
      </c>
      <c r="G1161">
        <v>78653</v>
      </c>
      <c r="H1161">
        <v>2010</v>
      </c>
      <c r="I1161" s="1">
        <v>5237.76</v>
      </c>
      <c r="J1161" s="1">
        <v>5952</v>
      </c>
      <c r="K1161" s="1">
        <v>5214</v>
      </c>
    </row>
    <row r="1162" spans="1:11" x14ac:dyDescent="0.35">
      <c r="A1162">
        <v>765894</v>
      </c>
      <c r="B1162">
        <v>2070839</v>
      </c>
      <c r="C1162" t="str">
        <f>"MANOR INDEP SCHOOL DISTRICT"</f>
        <v>MANOR INDEP SCHOOL DISTRICT</v>
      </c>
      <c r="D1162" t="s">
        <v>11</v>
      </c>
      <c r="E1162" t="s">
        <v>958</v>
      </c>
      <c r="F1162" t="s">
        <v>959</v>
      </c>
      <c r="G1162">
        <v>78653</v>
      </c>
      <c r="H1162">
        <v>2010</v>
      </c>
      <c r="I1162" s="1">
        <v>27561.599999999999</v>
      </c>
      <c r="J1162" s="1">
        <v>31320</v>
      </c>
      <c r="K1162" s="1">
        <v>27561.599999999999</v>
      </c>
    </row>
    <row r="1163" spans="1:11" x14ac:dyDescent="0.35">
      <c r="A1163">
        <v>765894</v>
      </c>
      <c r="B1163">
        <v>2070870</v>
      </c>
      <c r="C1163" t="str">
        <f>"MANOR INDEP SCHOOL DISTRICT"</f>
        <v>MANOR INDEP SCHOOL DISTRICT</v>
      </c>
      <c r="D1163" t="s">
        <v>11</v>
      </c>
      <c r="E1163" t="s">
        <v>958</v>
      </c>
      <c r="F1163" t="s">
        <v>959</v>
      </c>
      <c r="G1163">
        <v>78653</v>
      </c>
      <c r="H1163">
        <v>2010</v>
      </c>
      <c r="I1163" s="1">
        <v>0</v>
      </c>
      <c r="J1163" s="1">
        <v>0</v>
      </c>
    </row>
    <row r="1164" spans="1:11" x14ac:dyDescent="0.35">
      <c r="A1164">
        <v>732354</v>
      </c>
      <c r="B1164">
        <v>1980503</v>
      </c>
      <c r="C1164" t="str">
        <f>"MANSFIELD INDEP SCHOOL DIST"</f>
        <v>MANSFIELD INDEP SCHOOL DIST</v>
      </c>
      <c r="D1164" t="s">
        <v>11</v>
      </c>
      <c r="E1164" t="s">
        <v>960</v>
      </c>
      <c r="F1164" t="s">
        <v>961</v>
      </c>
      <c r="G1164">
        <v>76063</v>
      </c>
      <c r="H1164">
        <v>2010</v>
      </c>
      <c r="I1164" s="1">
        <v>22899.31</v>
      </c>
      <c r="J1164" s="1">
        <v>43206.25</v>
      </c>
      <c r="K1164" s="1">
        <v>11730.36</v>
      </c>
    </row>
    <row r="1165" spans="1:11" x14ac:dyDescent="0.35">
      <c r="A1165">
        <v>731815</v>
      </c>
      <c r="B1165">
        <v>1980069</v>
      </c>
      <c r="C1165" t="str">
        <f>"MANSFIELD INDEP SCHOOL DIST"</f>
        <v>MANSFIELD INDEP SCHOOL DIST</v>
      </c>
      <c r="D1165" t="s">
        <v>11</v>
      </c>
      <c r="E1165" t="s">
        <v>960</v>
      </c>
      <c r="F1165" t="s">
        <v>961</v>
      </c>
      <c r="G1165">
        <v>76063</v>
      </c>
      <c r="H1165">
        <v>2010</v>
      </c>
      <c r="I1165" s="1">
        <v>42867</v>
      </c>
      <c r="J1165" s="1">
        <v>77940</v>
      </c>
      <c r="K1165" s="1">
        <v>42867</v>
      </c>
    </row>
    <row r="1166" spans="1:11" x14ac:dyDescent="0.35">
      <c r="A1166">
        <v>731815</v>
      </c>
      <c r="B1166">
        <v>1980052</v>
      </c>
      <c r="C1166" t="str">
        <f>"MANSFIELD INDEP SCHOOL DIST"</f>
        <v>MANSFIELD INDEP SCHOOL DIST</v>
      </c>
      <c r="D1166" t="s">
        <v>11</v>
      </c>
      <c r="E1166" t="s">
        <v>960</v>
      </c>
      <c r="F1166" t="s">
        <v>961</v>
      </c>
      <c r="G1166">
        <v>76063</v>
      </c>
      <c r="H1166">
        <v>2010</v>
      </c>
      <c r="I1166" s="1">
        <v>7589.34</v>
      </c>
      <c r="J1166" s="1">
        <v>13798.8</v>
      </c>
      <c r="K1166" s="1">
        <v>3162.25</v>
      </c>
    </row>
    <row r="1167" spans="1:11" x14ac:dyDescent="0.35">
      <c r="A1167">
        <v>731815</v>
      </c>
      <c r="B1167">
        <v>2107019</v>
      </c>
      <c r="C1167" t="str">
        <f>"MANSFIELD INDEP SCHOOL DIST"</f>
        <v>MANSFIELD INDEP SCHOOL DIST</v>
      </c>
      <c r="D1167" t="s">
        <v>11</v>
      </c>
      <c r="E1167" t="s">
        <v>960</v>
      </c>
      <c r="F1167" t="s">
        <v>961</v>
      </c>
      <c r="G1167">
        <v>76063</v>
      </c>
      <c r="H1167">
        <v>2010</v>
      </c>
      <c r="I1167" s="1">
        <v>52256.05</v>
      </c>
      <c r="J1167" s="1">
        <v>95011</v>
      </c>
      <c r="K1167" s="1">
        <v>52114.58</v>
      </c>
    </row>
    <row r="1168" spans="1:11" x14ac:dyDescent="0.35">
      <c r="A1168">
        <v>715576</v>
      </c>
      <c r="B1168">
        <v>1960912</v>
      </c>
      <c r="C1168" t="str">
        <f>"MARBLE FALLS INDEP SCHOOL DIST"</f>
        <v>MARBLE FALLS INDEP SCHOOL DIST</v>
      </c>
      <c r="D1168" t="s">
        <v>11</v>
      </c>
      <c r="E1168" t="s">
        <v>962</v>
      </c>
      <c r="F1168" t="s">
        <v>963</v>
      </c>
      <c r="G1168">
        <v>78654</v>
      </c>
      <c r="H1168">
        <v>2010</v>
      </c>
      <c r="I1168" s="1">
        <v>13065.81</v>
      </c>
      <c r="J1168" s="1">
        <v>16751.04</v>
      </c>
      <c r="K1168" s="1">
        <v>12136.8</v>
      </c>
    </row>
    <row r="1169" spans="1:11" x14ac:dyDescent="0.35">
      <c r="A1169">
        <v>715576</v>
      </c>
      <c r="B1169">
        <v>1960914</v>
      </c>
      <c r="C1169" t="str">
        <f>"MARBLE FALLS INDEP SCHOOL DIST"</f>
        <v>MARBLE FALLS INDEP SCHOOL DIST</v>
      </c>
      <c r="D1169" t="s">
        <v>11</v>
      </c>
      <c r="E1169" t="s">
        <v>962</v>
      </c>
      <c r="F1169" t="s">
        <v>963</v>
      </c>
      <c r="G1169">
        <v>78654</v>
      </c>
      <c r="H1169">
        <v>2010</v>
      </c>
      <c r="I1169" s="1">
        <v>5803.2</v>
      </c>
      <c r="J1169" s="1">
        <v>7440</v>
      </c>
      <c r="K1169" s="1">
        <v>5803.2</v>
      </c>
    </row>
    <row r="1170" spans="1:11" x14ac:dyDescent="0.35">
      <c r="A1170">
        <v>741021</v>
      </c>
      <c r="B1170">
        <v>2001587</v>
      </c>
      <c r="C1170" t="str">
        <f>"MARFA INDEP SCHOOL DISTRICT"</f>
        <v>MARFA INDEP SCHOOL DISTRICT</v>
      </c>
      <c r="D1170" t="s">
        <v>11</v>
      </c>
      <c r="E1170" t="s">
        <v>964</v>
      </c>
      <c r="F1170" t="s">
        <v>965</v>
      </c>
      <c r="G1170">
        <v>79843</v>
      </c>
      <c r="H1170">
        <v>2010</v>
      </c>
      <c r="I1170" s="1">
        <v>887.42</v>
      </c>
      <c r="J1170" s="1">
        <v>1109.28</v>
      </c>
      <c r="K1170" s="1">
        <v>887.42</v>
      </c>
    </row>
    <row r="1171" spans="1:11" x14ac:dyDescent="0.35">
      <c r="A1171">
        <v>734412</v>
      </c>
      <c r="B1171">
        <v>1985448</v>
      </c>
      <c r="C1171" t="str">
        <f>"MARION INDEP SCHOOL DISTRICT"</f>
        <v>MARION INDEP SCHOOL DISTRICT</v>
      </c>
      <c r="D1171" t="s">
        <v>11</v>
      </c>
      <c r="E1171" t="s">
        <v>966</v>
      </c>
      <c r="F1171" t="s">
        <v>967</v>
      </c>
      <c r="G1171">
        <v>78124</v>
      </c>
      <c r="H1171">
        <v>2010</v>
      </c>
      <c r="I1171" s="1">
        <v>3960</v>
      </c>
      <c r="J1171" s="1">
        <v>6000</v>
      </c>
      <c r="K1171" s="1">
        <v>2140.4899999999998</v>
      </c>
    </row>
    <row r="1172" spans="1:11" x14ac:dyDescent="0.35">
      <c r="A1172">
        <v>734412</v>
      </c>
      <c r="B1172">
        <v>1985433</v>
      </c>
      <c r="C1172" t="str">
        <f>"MARION INDEP SCHOOL DISTRICT"</f>
        <v>MARION INDEP SCHOOL DISTRICT</v>
      </c>
      <c r="D1172" t="s">
        <v>11</v>
      </c>
      <c r="E1172" t="s">
        <v>966</v>
      </c>
      <c r="F1172" t="s">
        <v>967</v>
      </c>
      <c r="G1172">
        <v>78124</v>
      </c>
      <c r="H1172">
        <v>2010</v>
      </c>
      <c r="I1172" s="1">
        <v>15840</v>
      </c>
      <c r="J1172" s="1">
        <v>24000</v>
      </c>
      <c r="K1172" s="1">
        <v>13233</v>
      </c>
    </row>
    <row r="1173" spans="1:11" x14ac:dyDescent="0.35">
      <c r="A1173">
        <v>734251</v>
      </c>
      <c r="B1173">
        <v>1985137</v>
      </c>
      <c r="C1173" t="str">
        <f>"MARION INDEP SCHOOL DISTRICT"</f>
        <v>MARION INDEP SCHOOL DISTRICT</v>
      </c>
      <c r="D1173" t="s">
        <v>11</v>
      </c>
      <c r="E1173" t="s">
        <v>966</v>
      </c>
      <c r="F1173" t="s">
        <v>967</v>
      </c>
      <c r="G1173">
        <v>78124</v>
      </c>
      <c r="H1173">
        <v>2010</v>
      </c>
      <c r="I1173" s="1">
        <v>396</v>
      </c>
      <c r="J1173" s="1">
        <v>600</v>
      </c>
      <c r="K1173" s="1">
        <v>304.37</v>
      </c>
    </row>
    <row r="1174" spans="1:11" x14ac:dyDescent="0.35">
      <c r="A1174">
        <v>732036</v>
      </c>
      <c r="B1174">
        <v>1989306</v>
      </c>
      <c r="C1174" t="str">
        <f>"MARLIN INDEP SCHOOL DISTRICT"</f>
        <v>MARLIN INDEP SCHOOL DISTRICT</v>
      </c>
      <c r="D1174" t="s">
        <v>11</v>
      </c>
      <c r="E1174" t="s">
        <v>968</v>
      </c>
      <c r="F1174" t="s">
        <v>969</v>
      </c>
      <c r="G1174">
        <v>76661</v>
      </c>
      <c r="H1174">
        <v>2010</v>
      </c>
      <c r="I1174" s="1">
        <v>25628.400000000001</v>
      </c>
      <c r="J1174" s="1">
        <v>28476</v>
      </c>
      <c r="K1174" s="1">
        <v>25628.400000000001</v>
      </c>
    </row>
    <row r="1175" spans="1:11" x14ac:dyDescent="0.35">
      <c r="A1175">
        <v>755692</v>
      </c>
      <c r="B1175">
        <v>2042589</v>
      </c>
      <c r="C1175" t="str">
        <f>"MARSHALL INDEP SCHOOL DISTRICT"</f>
        <v>MARSHALL INDEP SCHOOL DISTRICT</v>
      </c>
      <c r="D1175" t="s">
        <v>11</v>
      </c>
      <c r="E1175" t="s">
        <v>970</v>
      </c>
      <c r="F1175" t="s">
        <v>260</v>
      </c>
      <c r="G1175">
        <v>75670</v>
      </c>
      <c r="H1175">
        <v>2010</v>
      </c>
      <c r="I1175" s="1">
        <v>0</v>
      </c>
      <c r="J1175" s="1">
        <v>0</v>
      </c>
    </row>
    <row r="1176" spans="1:11" x14ac:dyDescent="0.35">
      <c r="A1176">
        <v>732317</v>
      </c>
      <c r="B1176">
        <v>1991616</v>
      </c>
      <c r="C1176" t="str">
        <f>"MART INDEP SCHOOL DISTRICT"</f>
        <v>MART INDEP SCHOOL DISTRICT</v>
      </c>
      <c r="D1176" t="s">
        <v>11</v>
      </c>
      <c r="E1176" t="s">
        <v>971</v>
      </c>
      <c r="F1176" t="s">
        <v>972</v>
      </c>
      <c r="G1176">
        <v>76664</v>
      </c>
      <c r="H1176">
        <v>2010</v>
      </c>
      <c r="I1176" s="1">
        <v>17189.46</v>
      </c>
      <c r="J1176" s="1">
        <v>19758</v>
      </c>
    </row>
    <row r="1177" spans="1:11" x14ac:dyDescent="0.35">
      <c r="A1177">
        <v>732317</v>
      </c>
      <c r="B1177">
        <v>1991668</v>
      </c>
      <c r="C1177" t="str">
        <f>"MART INDEP SCHOOL DISTRICT"</f>
        <v>MART INDEP SCHOOL DISTRICT</v>
      </c>
      <c r="D1177" t="s">
        <v>11</v>
      </c>
      <c r="E1177" t="s">
        <v>971</v>
      </c>
      <c r="F1177" t="s">
        <v>972</v>
      </c>
      <c r="G1177">
        <v>76664</v>
      </c>
      <c r="H1177">
        <v>2010</v>
      </c>
      <c r="I1177" s="1">
        <v>15660</v>
      </c>
      <c r="J1177" s="1">
        <v>18000</v>
      </c>
      <c r="K1177" s="1">
        <v>15660</v>
      </c>
    </row>
    <row r="1178" spans="1:11" x14ac:dyDescent="0.35">
      <c r="A1178">
        <v>732317</v>
      </c>
      <c r="B1178">
        <v>1991737</v>
      </c>
      <c r="C1178" t="str">
        <f>"MART INDEP SCHOOL DISTRICT"</f>
        <v>MART INDEP SCHOOL DISTRICT</v>
      </c>
      <c r="D1178" t="s">
        <v>11</v>
      </c>
      <c r="E1178" t="s">
        <v>971</v>
      </c>
      <c r="F1178" t="s">
        <v>972</v>
      </c>
      <c r="G1178">
        <v>76664</v>
      </c>
      <c r="H1178">
        <v>2010</v>
      </c>
      <c r="I1178" s="1">
        <v>1361.27</v>
      </c>
      <c r="J1178" s="1">
        <v>1564.68</v>
      </c>
      <c r="K1178" s="1">
        <v>1361.25</v>
      </c>
    </row>
    <row r="1179" spans="1:11" x14ac:dyDescent="0.35">
      <c r="A1179">
        <v>765285</v>
      </c>
      <c r="B1179">
        <v>2068265</v>
      </c>
      <c r="C1179" t="str">
        <f>"MARTINS MILL SCHOOL DISTRICT"</f>
        <v>MARTINS MILL SCHOOL DISTRICT</v>
      </c>
      <c r="D1179" t="s">
        <v>11</v>
      </c>
      <c r="E1179" t="s">
        <v>973</v>
      </c>
      <c r="F1179" t="s">
        <v>974</v>
      </c>
      <c r="G1179">
        <v>75754</v>
      </c>
      <c r="H1179">
        <v>2010</v>
      </c>
      <c r="I1179" s="1">
        <v>6916</v>
      </c>
      <c r="J1179" s="1">
        <v>9100</v>
      </c>
      <c r="K1179" s="1">
        <v>5016</v>
      </c>
    </row>
    <row r="1180" spans="1:11" x14ac:dyDescent="0.35">
      <c r="A1180">
        <v>734692</v>
      </c>
      <c r="B1180">
        <v>1989267</v>
      </c>
      <c r="C1180" t="str">
        <f>"MARTINS MILL SCHOOL DISTRICT"</f>
        <v>MARTINS MILL SCHOOL DISTRICT</v>
      </c>
      <c r="D1180" t="s">
        <v>11</v>
      </c>
      <c r="E1180" t="s">
        <v>973</v>
      </c>
      <c r="F1180" t="s">
        <v>974</v>
      </c>
      <c r="G1180">
        <v>75754</v>
      </c>
      <c r="H1180">
        <v>2010</v>
      </c>
      <c r="I1180" s="1">
        <v>373.92</v>
      </c>
      <c r="J1180" s="1">
        <v>492</v>
      </c>
    </row>
    <row r="1181" spans="1:11" x14ac:dyDescent="0.35">
      <c r="A1181">
        <v>734692</v>
      </c>
      <c r="B1181">
        <v>1989163</v>
      </c>
      <c r="C1181" t="str">
        <f>"MARTINS MILL SCHOOL DISTRICT"</f>
        <v>MARTINS MILL SCHOOL DISTRICT</v>
      </c>
      <c r="D1181" t="s">
        <v>11</v>
      </c>
      <c r="E1181" t="s">
        <v>973</v>
      </c>
      <c r="F1181" t="s">
        <v>974</v>
      </c>
      <c r="G1181">
        <v>75754</v>
      </c>
      <c r="H1181">
        <v>2010</v>
      </c>
      <c r="I1181" s="1">
        <v>0</v>
      </c>
      <c r="J1181" s="1">
        <v>0</v>
      </c>
    </row>
    <row r="1182" spans="1:11" x14ac:dyDescent="0.35">
      <c r="A1182">
        <v>713943</v>
      </c>
      <c r="B1182">
        <v>1944030</v>
      </c>
      <c r="C1182" t="str">
        <f>"MARTINSVILLE INDEP SCHOOL DIST"</f>
        <v>MARTINSVILLE INDEP SCHOOL DIST</v>
      </c>
      <c r="D1182" t="s">
        <v>11</v>
      </c>
      <c r="E1182" t="s">
        <v>975</v>
      </c>
      <c r="F1182" t="s">
        <v>976</v>
      </c>
      <c r="G1182">
        <v>75958</v>
      </c>
      <c r="H1182">
        <v>2010</v>
      </c>
      <c r="I1182" s="1">
        <v>6940.8</v>
      </c>
      <c r="J1182" s="1">
        <v>8676</v>
      </c>
      <c r="K1182" s="1">
        <v>2880</v>
      </c>
    </row>
    <row r="1183" spans="1:11" x14ac:dyDescent="0.35">
      <c r="A1183">
        <v>713976</v>
      </c>
      <c r="B1183">
        <v>1944078</v>
      </c>
      <c r="C1183" t="str">
        <f>"MARTINSVILLE INDEP SCHOOL DIST"</f>
        <v>MARTINSVILLE INDEP SCHOOL DIST</v>
      </c>
      <c r="D1183" t="s">
        <v>11</v>
      </c>
      <c r="E1183" t="s">
        <v>975</v>
      </c>
      <c r="F1183" t="s">
        <v>976</v>
      </c>
      <c r="G1183">
        <v>75958</v>
      </c>
      <c r="H1183">
        <v>2010</v>
      </c>
      <c r="I1183" s="1">
        <v>2688</v>
      </c>
      <c r="J1183" s="1">
        <v>3360</v>
      </c>
      <c r="K1183" s="1">
        <v>2688</v>
      </c>
    </row>
    <row r="1184" spans="1:11" x14ac:dyDescent="0.35">
      <c r="A1184">
        <v>703193</v>
      </c>
      <c r="B1184">
        <v>1932544</v>
      </c>
      <c r="C1184" t="str">
        <f>"MASON INDEP SCHOOL DISTRICT"</f>
        <v>MASON INDEP SCHOOL DISTRICT</v>
      </c>
      <c r="D1184" t="s">
        <v>11</v>
      </c>
      <c r="E1184" t="s">
        <v>977</v>
      </c>
      <c r="F1184" t="s">
        <v>978</v>
      </c>
      <c r="G1184">
        <v>76856</v>
      </c>
      <c r="H1184">
        <v>2010</v>
      </c>
      <c r="I1184" s="1">
        <v>480</v>
      </c>
      <c r="J1184" s="1">
        <v>600</v>
      </c>
      <c r="K1184" s="1">
        <v>291.82</v>
      </c>
    </row>
    <row r="1185" spans="1:11" x14ac:dyDescent="0.35">
      <c r="A1185">
        <v>750467</v>
      </c>
      <c r="B1185">
        <v>2027533</v>
      </c>
      <c r="C1185" t="str">
        <f>"MASON INDEP SCHOOL DISTRICT"</f>
        <v>MASON INDEP SCHOOL DISTRICT</v>
      </c>
      <c r="D1185" t="s">
        <v>11</v>
      </c>
      <c r="E1185" t="s">
        <v>977</v>
      </c>
      <c r="F1185" t="s">
        <v>978</v>
      </c>
      <c r="G1185">
        <v>76856</v>
      </c>
      <c r="H1185">
        <v>2010</v>
      </c>
      <c r="I1185" s="1">
        <v>2616</v>
      </c>
      <c r="J1185" s="1">
        <v>3270</v>
      </c>
      <c r="K1185" s="1">
        <v>2616</v>
      </c>
    </row>
    <row r="1186" spans="1:11" x14ac:dyDescent="0.35">
      <c r="A1186">
        <v>707976</v>
      </c>
      <c r="B1186">
        <v>1936631</v>
      </c>
      <c r="C1186" t="str">
        <f>"MASON INDEP SCHOOL DISTRICT"</f>
        <v>MASON INDEP SCHOOL DISTRICT</v>
      </c>
      <c r="D1186" t="s">
        <v>11</v>
      </c>
      <c r="E1186" t="s">
        <v>977</v>
      </c>
      <c r="F1186" t="s">
        <v>978</v>
      </c>
      <c r="G1186">
        <v>76856</v>
      </c>
      <c r="H1186">
        <v>2010</v>
      </c>
      <c r="I1186" s="1">
        <v>2557.44</v>
      </c>
      <c r="J1186" s="1">
        <v>3196.8</v>
      </c>
      <c r="K1186" s="1">
        <v>1892</v>
      </c>
    </row>
    <row r="1187" spans="1:11" x14ac:dyDescent="0.35">
      <c r="A1187">
        <v>766953</v>
      </c>
      <c r="B1187">
        <v>2073583</v>
      </c>
      <c r="C1187" t="str">
        <f>"MATAGORDA INDEP SCHOOL DIST"</f>
        <v>MATAGORDA INDEP SCHOOL DIST</v>
      </c>
      <c r="D1187" t="s">
        <v>11</v>
      </c>
      <c r="E1187" t="s">
        <v>979</v>
      </c>
      <c r="F1187" t="s">
        <v>980</v>
      </c>
      <c r="G1187">
        <v>77457</v>
      </c>
      <c r="H1187">
        <v>2010</v>
      </c>
      <c r="I1187" s="1">
        <v>6177.6</v>
      </c>
      <c r="J1187" s="1">
        <v>6864</v>
      </c>
    </row>
    <row r="1188" spans="1:11" x14ac:dyDescent="0.35">
      <c r="A1188">
        <v>750445</v>
      </c>
      <c r="B1188">
        <v>2035085</v>
      </c>
      <c r="C1188" t="str">
        <f>"MATAGORDA INDEP SCHOOL DIST"</f>
        <v>MATAGORDA INDEP SCHOOL DIST</v>
      </c>
      <c r="D1188" t="s">
        <v>11</v>
      </c>
      <c r="E1188" t="s">
        <v>979</v>
      </c>
      <c r="F1188" t="s">
        <v>980</v>
      </c>
      <c r="G1188">
        <v>77457</v>
      </c>
      <c r="H1188">
        <v>2010</v>
      </c>
      <c r="I1188" s="1">
        <v>16200</v>
      </c>
      <c r="J1188" s="1">
        <v>18000</v>
      </c>
      <c r="K1188" s="1">
        <v>7380</v>
      </c>
    </row>
    <row r="1189" spans="1:11" x14ac:dyDescent="0.35">
      <c r="A1189">
        <v>750445</v>
      </c>
      <c r="B1189">
        <v>2035338</v>
      </c>
      <c r="C1189" t="str">
        <f>"MATAGORDA INDEP SCHOOL DIST"</f>
        <v>MATAGORDA INDEP SCHOOL DIST</v>
      </c>
      <c r="D1189" t="s">
        <v>11</v>
      </c>
      <c r="E1189" t="s">
        <v>979</v>
      </c>
      <c r="F1189" t="s">
        <v>980</v>
      </c>
      <c r="G1189">
        <v>77457</v>
      </c>
      <c r="H1189">
        <v>2010</v>
      </c>
      <c r="I1189" s="1">
        <v>4068.84</v>
      </c>
      <c r="J1189" s="1">
        <v>4520.93</v>
      </c>
    </row>
    <row r="1190" spans="1:11" x14ac:dyDescent="0.35">
      <c r="A1190">
        <v>750445</v>
      </c>
      <c r="B1190">
        <v>2035188</v>
      </c>
      <c r="C1190" t="str">
        <f>"MATAGORDA INDEP SCHOOL DIST"</f>
        <v>MATAGORDA INDEP SCHOOL DIST</v>
      </c>
      <c r="D1190" t="s">
        <v>11</v>
      </c>
      <c r="E1190" t="s">
        <v>979</v>
      </c>
      <c r="F1190" t="s">
        <v>980</v>
      </c>
      <c r="G1190">
        <v>77457</v>
      </c>
      <c r="H1190">
        <v>2010</v>
      </c>
      <c r="I1190" s="1">
        <v>6966</v>
      </c>
      <c r="J1190" s="1">
        <v>7740</v>
      </c>
      <c r="K1190" s="1">
        <v>6907.1</v>
      </c>
    </row>
    <row r="1191" spans="1:11" x14ac:dyDescent="0.35">
      <c r="A1191">
        <v>735780</v>
      </c>
      <c r="B1191">
        <v>1988703</v>
      </c>
      <c r="C1191" t="str">
        <f>"MATHIS INDEP SCHOOL DISTRICT"</f>
        <v>MATHIS INDEP SCHOOL DISTRICT</v>
      </c>
      <c r="D1191" t="s">
        <v>11</v>
      </c>
      <c r="E1191" t="s">
        <v>981</v>
      </c>
      <c r="F1191" t="s">
        <v>982</v>
      </c>
      <c r="G1191">
        <v>78368</v>
      </c>
      <c r="H1191">
        <v>2010</v>
      </c>
      <c r="I1191" s="1">
        <v>25936.2</v>
      </c>
      <c r="J1191" s="1">
        <v>28818</v>
      </c>
      <c r="K1191" s="1">
        <v>25936.2</v>
      </c>
    </row>
    <row r="1192" spans="1:11" x14ac:dyDescent="0.35">
      <c r="A1192">
        <v>736473</v>
      </c>
      <c r="B1192">
        <v>2007961</v>
      </c>
      <c r="C1192" t="str">
        <f>"MCCAMEY INDEP SCHOOL DISTRICT"</f>
        <v>MCCAMEY INDEP SCHOOL DISTRICT</v>
      </c>
      <c r="D1192" t="s">
        <v>11</v>
      </c>
      <c r="E1192" t="s">
        <v>983</v>
      </c>
      <c r="F1192" t="s">
        <v>984</v>
      </c>
      <c r="G1192">
        <v>79752</v>
      </c>
      <c r="H1192">
        <v>2010</v>
      </c>
      <c r="I1192" s="1">
        <v>4513.97</v>
      </c>
      <c r="J1192" s="1">
        <v>6269.4</v>
      </c>
    </row>
    <row r="1193" spans="1:11" x14ac:dyDescent="0.35">
      <c r="A1193">
        <v>733400</v>
      </c>
      <c r="B1193">
        <v>2014532</v>
      </c>
      <c r="C1193" t="str">
        <f>"MCDADE INDEP SCHOOL DISTRICT"</f>
        <v>MCDADE INDEP SCHOOL DISTRICT</v>
      </c>
      <c r="D1193" t="s">
        <v>11</v>
      </c>
      <c r="E1193" t="s">
        <v>985</v>
      </c>
      <c r="F1193" t="s">
        <v>986</v>
      </c>
      <c r="G1193">
        <v>78650</v>
      </c>
      <c r="H1193">
        <v>2010</v>
      </c>
      <c r="I1193" s="1">
        <v>7440</v>
      </c>
      <c r="J1193" s="1">
        <v>9300</v>
      </c>
      <c r="K1193" s="1">
        <v>6240</v>
      </c>
    </row>
    <row r="1194" spans="1:11" x14ac:dyDescent="0.35">
      <c r="A1194">
        <v>733400</v>
      </c>
      <c r="B1194">
        <v>2001703</v>
      </c>
      <c r="C1194" t="str">
        <f>"MCDADE INDEP SCHOOL DISTRICT"</f>
        <v>MCDADE INDEP SCHOOL DISTRICT</v>
      </c>
      <c r="D1194" t="s">
        <v>11</v>
      </c>
      <c r="E1194" t="s">
        <v>985</v>
      </c>
      <c r="F1194" t="s">
        <v>986</v>
      </c>
      <c r="G1194">
        <v>78650</v>
      </c>
      <c r="H1194">
        <v>2010</v>
      </c>
      <c r="I1194" s="1">
        <v>7200</v>
      </c>
      <c r="J1194" s="1">
        <v>9000</v>
      </c>
      <c r="K1194" s="1">
        <v>7200</v>
      </c>
    </row>
    <row r="1195" spans="1:11" x14ac:dyDescent="0.35">
      <c r="A1195">
        <v>731965</v>
      </c>
      <c r="B1195">
        <v>2008657</v>
      </c>
      <c r="C1195" t="str">
        <f>"MCDADE INDEP SCHOOL DISTRICT"</f>
        <v>MCDADE INDEP SCHOOL DISTRICT</v>
      </c>
      <c r="D1195" t="s">
        <v>11</v>
      </c>
      <c r="E1195" t="s">
        <v>985</v>
      </c>
      <c r="F1195" t="s">
        <v>986</v>
      </c>
      <c r="G1195">
        <v>78650</v>
      </c>
      <c r="H1195">
        <v>2010</v>
      </c>
      <c r="I1195" s="1">
        <v>360</v>
      </c>
      <c r="J1195" s="1">
        <v>450</v>
      </c>
      <c r="K1195" s="1">
        <v>360</v>
      </c>
    </row>
    <row r="1196" spans="1:11" x14ac:dyDescent="0.35">
      <c r="A1196">
        <v>741784</v>
      </c>
      <c r="B1196">
        <v>2002802</v>
      </c>
      <c r="C1196" t="str">
        <f>"MCGREGOR INDEP SCHOOL DISTRICT"</f>
        <v>MCGREGOR INDEP SCHOOL DISTRICT</v>
      </c>
      <c r="D1196" t="s">
        <v>11</v>
      </c>
      <c r="E1196" t="s">
        <v>987</v>
      </c>
      <c r="F1196" t="s">
        <v>988</v>
      </c>
      <c r="G1196">
        <v>76657</v>
      </c>
      <c r="H1196">
        <v>2010</v>
      </c>
      <c r="I1196" s="1">
        <v>22512</v>
      </c>
      <c r="J1196" s="1">
        <v>28140</v>
      </c>
      <c r="K1196" s="1">
        <v>22512</v>
      </c>
    </row>
    <row r="1197" spans="1:11" x14ac:dyDescent="0.35">
      <c r="A1197">
        <v>747105</v>
      </c>
      <c r="B1197">
        <v>2025786</v>
      </c>
      <c r="C1197" t="str">
        <f>"MCKINNEY INDEP SCHOOL DISTRICT"</f>
        <v>MCKINNEY INDEP SCHOOL DISTRICT</v>
      </c>
      <c r="D1197" t="s">
        <v>11</v>
      </c>
      <c r="E1197" t="s">
        <v>989</v>
      </c>
      <c r="F1197" t="s">
        <v>990</v>
      </c>
      <c r="G1197">
        <v>75069</v>
      </c>
      <c r="H1197">
        <v>2010</v>
      </c>
      <c r="I1197" s="1">
        <v>16725</v>
      </c>
      <c r="J1197" s="1">
        <v>33450</v>
      </c>
      <c r="K1197" s="1">
        <v>14625</v>
      </c>
    </row>
    <row r="1198" spans="1:11" x14ac:dyDescent="0.35">
      <c r="A1198">
        <v>747105</v>
      </c>
      <c r="B1198">
        <v>2020332</v>
      </c>
      <c r="C1198" t="str">
        <f>"MCKINNEY INDEP SCHOOL DISTRICT"</f>
        <v>MCKINNEY INDEP SCHOOL DISTRICT</v>
      </c>
      <c r="D1198" t="s">
        <v>11</v>
      </c>
      <c r="E1198" t="s">
        <v>989</v>
      </c>
      <c r="F1198" t="s">
        <v>990</v>
      </c>
      <c r="G1198">
        <v>75069</v>
      </c>
      <c r="H1198">
        <v>2010</v>
      </c>
      <c r="I1198" s="1">
        <v>18250</v>
      </c>
      <c r="J1198" s="1">
        <v>36500</v>
      </c>
      <c r="K1198" s="1">
        <v>18250</v>
      </c>
    </row>
    <row r="1199" spans="1:11" x14ac:dyDescent="0.35">
      <c r="A1199">
        <v>747105</v>
      </c>
      <c r="B1199">
        <v>2020281</v>
      </c>
      <c r="C1199" t="str">
        <f>"MCKINNEY INDEP SCHOOL DISTRICT"</f>
        <v>MCKINNEY INDEP SCHOOL DISTRICT</v>
      </c>
      <c r="D1199" t="s">
        <v>11</v>
      </c>
      <c r="E1199" t="s">
        <v>989</v>
      </c>
      <c r="F1199" t="s">
        <v>990</v>
      </c>
      <c r="G1199">
        <v>75069</v>
      </c>
      <c r="H1199">
        <v>2010</v>
      </c>
      <c r="I1199" s="1">
        <v>9150</v>
      </c>
      <c r="J1199" s="1">
        <v>18300</v>
      </c>
      <c r="K1199" s="1">
        <v>9150</v>
      </c>
    </row>
    <row r="1200" spans="1:11" x14ac:dyDescent="0.35">
      <c r="A1200">
        <v>747105</v>
      </c>
      <c r="B1200">
        <v>2020301</v>
      </c>
      <c r="C1200" t="str">
        <f>"MCKINNEY INDEP SCHOOL DISTRICT"</f>
        <v>MCKINNEY INDEP SCHOOL DISTRICT</v>
      </c>
      <c r="D1200" t="s">
        <v>11</v>
      </c>
      <c r="E1200" t="s">
        <v>989</v>
      </c>
      <c r="F1200" t="s">
        <v>990</v>
      </c>
      <c r="G1200">
        <v>75069</v>
      </c>
      <c r="H1200">
        <v>2010</v>
      </c>
      <c r="I1200" s="1">
        <v>34806</v>
      </c>
      <c r="J1200" s="1">
        <v>69612</v>
      </c>
      <c r="K1200" s="1">
        <v>34806</v>
      </c>
    </row>
    <row r="1201" spans="1:11" x14ac:dyDescent="0.35">
      <c r="A1201">
        <v>753429</v>
      </c>
      <c r="B1201">
        <v>2037589</v>
      </c>
      <c r="C1201" t="str">
        <f>"MCLEAN INDEP SCHOOL DISTRICT"</f>
        <v>MCLEAN INDEP SCHOOL DISTRICT</v>
      </c>
      <c r="D1201" t="s">
        <v>11</v>
      </c>
      <c r="E1201" t="s">
        <v>991</v>
      </c>
      <c r="F1201" t="s">
        <v>992</v>
      </c>
      <c r="G1201">
        <v>79057</v>
      </c>
      <c r="H1201">
        <v>2010</v>
      </c>
      <c r="I1201" s="1">
        <v>2960</v>
      </c>
      <c r="J1201" s="1">
        <v>3700</v>
      </c>
      <c r="K1201" s="1">
        <v>2960</v>
      </c>
    </row>
    <row r="1202" spans="1:11" x14ac:dyDescent="0.35">
      <c r="A1202">
        <v>753429</v>
      </c>
      <c r="B1202">
        <v>2037207</v>
      </c>
      <c r="C1202" t="str">
        <f>"MCLEAN INDEP SCHOOL DISTRICT"</f>
        <v>MCLEAN INDEP SCHOOL DISTRICT</v>
      </c>
      <c r="D1202" t="s">
        <v>11</v>
      </c>
      <c r="E1202" t="s">
        <v>991</v>
      </c>
      <c r="F1202" t="s">
        <v>992</v>
      </c>
      <c r="G1202">
        <v>79057</v>
      </c>
      <c r="H1202">
        <v>2010</v>
      </c>
      <c r="I1202" s="1">
        <v>680</v>
      </c>
      <c r="J1202" s="1">
        <v>850</v>
      </c>
      <c r="K1202" s="1">
        <v>680</v>
      </c>
    </row>
    <row r="1203" spans="1:11" x14ac:dyDescent="0.35">
      <c r="A1203">
        <v>753429</v>
      </c>
      <c r="B1203">
        <v>2036780</v>
      </c>
      <c r="C1203" t="str">
        <f>"MCLEAN INDEP SCHOOL DISTRICT"</f>
        <v>MCLEAN INDEP SCHOOL DISTRICT</v>
      </c>
      <c r="D1203" t="s">
        <v>11</v>
      </c>
      <c r="E1203" t="s">
        <v>991</v>
      </c>
      <c r="F1203" t="s">
        <v>992</v>
      </c>
      <c r="G1203">
        <v>79057</v>
      </c>
      <c r="H1203">
        <v>2010</v>
      </c>
      <c r="I1203" s="1">
        <v>7712</v>
      </c>
      <c r="J1203" s="1">
        <v>9640</v>
      </c>
      <c r="K1203" s="1">
        <v>5312</v>
      </c>
    </row>
    <row r="1204" spans="1:11" x14ac:dyDescent="0.35">
      <c r="A1204">
        <v>716167</v>
      </c>
      <c r="B1204">
        <v>1948823</v>
      </c>
      <c r="C1204" t="str">
        <f>"MCLEOD INDEP SCHOOL DISTRICT"</f>
        <v>MCLEOD INDEP SCHOOL DISTRICT</v>
      </c>
      <c r="D1204" t="s">
        <v>11</v>
      </c>
      <c r="E1204" t="s">
        <v>993</v>
      </c>
      <c r="F1204" t="s">
        <v>994</v>
      </c>
      <c r="G1204">
        <v>75565</v>
      </c>
      <c r="H1204">
        <v>2010</v>
      </c>
      <c r="I1204" s="1">
        <v>1137.05</v>
      </c>
      <c r="J1204" s="1">
        <v>1624.35</v>
      </c>
      <c r="K1204" s="1">
        <v>1137.05</v>
      </c>
    </row>
    <row r="1205" spans="1:11" x14ac:dyDescent="0.35">
      <c r="A1205">
        <v>744526</v>
      </c>
      <c r="B1205">
        <v>2010954</v>
      </c>
      <c r="C1205" t="str">
        <f>"MCMULLEN CO INDEP SCHOOL DIST"</f>
        <v>MCMULLEN CO INDEP SCHOOL DIST</v>
      </c>
      <c r="D1205" t="s">
        <v>11</v>
      </c>
      <c r="E1205" t="s">
        <v>995</v>
      </c>
      <c r="F1205" t="s">
        <v>996</v>
      </c>
      <c r="G1205">
        <v>78072</v>
      </c>
      <c r="H1205">
        <v>2010</v>
      </c>
      <c r="I1205" s="1">
        <v>1890</v>
      </c>
      <c r="J1205" s="1">
        <v>2700</v>
      </c>
    </row>
    <row r="1206" spans="1:11" x14ac:dyDescent="0.35">
      <c r="A1206">
        <v>744526</v>
      </c>
      <c r="B1206">
        <v>2010864</v>
      </c>
      <c r="C1206" t="str">
        <f>"MCMULLEN CO INDEP SCHOOL DIST"</f>
        <v>MCMULLEN CO INDEP SCHOOL DIST</v>
      </c>
      <c r="D1206" t="s">
        <v>11</v>
      </c>
      <c r="E1206" t="s">
        <v>995</v>
      </c>
      <c r="F1206" t="s">
        <v>996</v>
      </c>
      <c r="G1206">
        <v>78072</v>
      </c>
      <c r="H1206">
        <v>2010</v>
      </c>
      <c r="I1206" s="1">
        <v>7568.48</v>
      </c>
      <c r="J1206" s="1">
        <v>10812.12</v>
      </c>
      <c r="K1206" s="1">
        <v>7568.48</v>
      </c>
    </row>
    <row r="1207" spans="1:11" x14ac:dyDescent="0.35">
      <c r="A1207">
        <v>739775</v>
      </c>
      <c r="B1207">
        <v>1997894</v>
      </c>
      <c r="C1207" t="str">
        <f>"MEADOW INDEP SCHOOL DISTRICT"</f>
        <v>MEADOW INDEP SCHOOL DISTRICT</v>
      </c>
      <c r="D1207" t="s">
        <v>11</v>
      </c>
      <c r="E1207" t="s">
        <v>997</v>
      </c>
      <c r="F1207" t="s">
        <v>998</v>
      </c>
      <c r="G1207">
        <v>79345</v>
      </c>
      <c r="H1207">
        <v>2010</v>
      </c>
      <c r="I1207" s="1">
        <v>1644.3</v>
      </c>
      <c r="J1207" s="1">
        <v>1827</v>
      </c>
      <c r="K1207" s="1">
        <v>1644.3</v>
      </c>
    </row>
    <row r="1208" spans="1:11" x14ac:dyDescent="0.35">
      <c r="A1208">
        <v>739775</v>
      </c>
      <c r="B1208">
        <v>1997887</v>
      </c>
      <c r="C1208" t="str">
        <f>"MEADOW INDEP SCHOOL DISTRICT"</f>
        <v>MEADOW INDEP SCHOOL DISTRICT</v>
      </c>
      <c r="D1208" t="s">
        <v>11</v>
      </c>
      <c r="E1208" t="s">
        <v>997</v>
      </c>
      <c r="F1208" t="s">
        <v>998</v>
      </c>
      <c r="G1208">
        <v>79345</v>
      </c>
      <c r="H1208">
        <v>2010</v>
      </c>
      <c r="I1208" s="1">
        <v>5940</v>
      </c>
      <c r="J1208" s="1">
        <v>6600</v>
      </c>
      <c r="K1208" s="1">
        <v>5940</v>
      </c>
    </row>
    <row r="1209" spans="1:11" x14ac:dyDescent="0.35">
      <c r="A1209">
        <v>722468</v>
      </c>
      <c r="B1209">
        <v>1959418</v>
      </c>
      <c r="C1209" t="str">
        <f>"MEDINA INDEP SCHOOL DISTRICT"</f>
        <v>MEDINA INDEP SCHOOL DISTRICT</v>
      </c>
      <c r="D1209" t="s">
        <v>11</v>
      </c>
      <c r="E1209" t="s">
        <v>999</v>
      </c>
      <c r="F1209" t="s">
        <v>1000</v>
      </c>
      <c r="G1209">
        <v>78055</v>
      </c>
      <c r="H1209">
        <v>2010</v>
      </c>
      <c r="I1209" s="1">
        <v>3840</v>
      </c>
      <c r="J1209" s="1">
        <v>4800</v>
      </c>
      <c r="K1209" s="1">
        <v>3840</v>
      </c>
    </row>
    <row r="1210" spans="1:11" x14ac:dyDescent="0.35">
      <c r="A1210">
        <v>717304</v>
      </c>
      <c r="B1210">
        <v>2005290</v>
      </c>
      <c r="C1210" t="str">
        <f t="shared" ref="C1210:C1218" si="18">"MEDINA VALLEY INDEP SCH DIST"</f>
        <v>MEDINA VALLEY INDEP SCH DIST</v>
      </c>
      <c r="D1210" t="s">
        <v>11</v>
      </c>
      <c r="E1210" t="s">
        <v>1001</v>
      </c>
      <c r="F1210" t="s">
        <v>1002</v>
      </c>
      <c r="G1210">
        <v>78009</v>
      </c>
      <c r="H1210">
        <v>2010</v>
      </c>
      <c r="I1210" s="1">
        <v>18360</v>
      </c>
      <c r="J1210" s="1">
        <v>24480</v>
      </c>
      <c r="K1210" s="1">
        <v>18360</v>
      </c>
    </row>
    <row r="1211" spans="1:11" x14ac:dyDescent="0.35">
      <c r="A1211">
        <v>742337</v>
      </c>
      <c r="B1211">
        <v>2004387</v>
      </c>
      <c r="C1211" t="str">
        <f t="shared" si="18"/>
        <v>MEDINA VALLEY INDEP SCH DIST</v>
      </c>
      <c r="D1211" t="s">
        <v>11</v>
      </c>
      <c r="E1211" t="s">
        <v>1001</v>
      </c>
      <c r="F1211" t="s">
        <v>1002</v>
      </c>
      <c r="G1211">
        <v>78009</v>
      </c>
      <c r="H1211">
        <v>2010</v>
      </c>
      <c r="I1211" s="1">
        <v>9975.5499999999993</v>
      </c>
      <c r="J1211" s="1">
        <v>12469.44</v>
      </c>
      <c r="K1211" s="1">
        <v>9975.5499999999993</v>
      </c>
    </row>
    <row r="1212" spans="1:11" x14ac:dyDescent="0.35">
      <c r="A1212">
        <v>717268</v>
      </c>
      <c r="B1212">
        <v>2000153</v>
      </c>
      <c r="C1212" t="str">
        <f t="shared" si="18"/>
        <v>MEDINA VALLEY INDEP SCH DIST</v>
      </c>
      <c r="D1212" t="s">
        <v>11</v>
      </c>
      <c r="E1212" t="s">
        <v>1001</v>
      </c>
      <c r="F1212" t="s">
        <v>1002</v>
      </c>
      <c r="G1212">
        <v>78009</v>
      </c>
      <c r="H1212">
        <v>2010</v>
      </c>
      <c r="I1212" s="1">
        <v>0</v>
      </c>
      <c r="J1212" s="1">
        <v>0</v>
      </c>
    </row>
    <row r="1213" spans="1:11" x14ac:dyDescent="0.35">
      <c r="A1213">
        <v>717268</v>
      </c>
      <c r="B1213">
        <v>2000519</v>
      </c>
      <c r="C1213" t="str">
        <f t="shared" si="18"/>
        <v>MEDINA VALLEY INDEP SCH DIST</v>
      </c>
      <c r="D1213" t="s">
        <v>11</v>
      </c>
      <c r="E1213" t="s">
        <v>1001</v>
      </c>
      <c r="F1213" t="s">
        <v>1002</v>
      </c>
      <c r="G1213">
        <v>78009</v>
      </c>
      <c r="H1213">
        <v>2010</v>
      </c>
      <c r="I1213" s="1">
        <v>0</v>
      </c>
      <c r="J1213" s="1">
        <v>0</v>
      </c>
    </row>
    <row r="1214" spans="1:11" x14ac:dyDescent="0.35">
      <c r="A1214">
        <v>717268</v>
      </c>
      <c r="B1214">
        <v>2000504</v>
      </c>
      <c r="C1214" t="str">
        <f t="shared" si="18"/>
        <v>MEDINA VALLEY INDEP SCH DIST</v>
      </c>
      <c r="D1214" t="s">
        <v>11</v>
      </c>
      <c r="E1214" t="s">
        <v>1001</v>
      </c>
      <c r="F1214" t="s">
        <v>1002</v>
      </c>
      <c r="G1214">
        <v>78009</v>
      </c>
      <c r="H1214">
        <v>2010</v>
      </c>
      <c r="I1214" s="1">
        <v>0</v>
      </c>
      <c r="J1214" s="1">
        <v>0</v>
      </c>
    </row>
    <row r="1215" spans="1:11" x14ac:dyDescent="0.35">
      <c r="A1215">
        <v>717268</v>
      </c>
      <c r="B1215">
        <v>2000533</v>
      </c>
      <c r="C1215" t="str">
        <f t="shared" si="18"/>
        <v>MEDINA VALLEY INDEP SCH DIST</v>
      </c>
      <c r="D1215" t="s">
        <v>11</v>
      </c>
      <c r="E1215" t="s">
        <v>1001</v>
      </c>
      <c r="F1215" t="s">
        <v>1002</v>
      </c>
      <c r="G1215">
        <v>78009</v>
      </c>
      <c r="H1215">
        <v>2010</v>
      </c>
      <c r="I1215" s="1">
        <v>0</v>
      </c>
      <c r="J1215" s="1">
        <v>0</v>
      </c>
    </row>
    <row r="1216" spans="1:11" x14ac:dyDescent="0.35">
      <c r="A1216">
        <v>742337</v>
      </c>
      <c r="B1216">
        <v>2004335</v>
      </c>
      <c r="C1216" t="str">
        <f t="shared" si="18"/>
        <v>MEDINA VALLEY INDEP SCH DIST</v>
      </c>
      <c r="D1216" t="s">
        <v>11</v>
      </c>
      <c r="E1216" t="s">
        <v>1001</v>
      </c>
      <c r="F1216" t="s">
        <v>1002</v>
      </c>
      <c r="G1216">
        <v>78009</v>
      </c>
      <c r="H1216">
        <v>2010</v>
      </c>
      <c r="I1216" s="1">
        <v>9135.36</v>
      </c>
      <c r="J1216" s="1">
        <v>11419.2</v>
      </c>
      <c r="K1216" s="1">
        <v>9135.36</v>
      </c>
    </row>
    <row r="1217" spans="1:11" x14ac:dyDescent="0.35">
      <c r="A1217">
        <v>742337</v>
      </c>
      <c r="B1217">
        <v>2004393</v>
      </c>
      <c r="C1217" t="str">
        <f t="shared" si="18"/>
        <v>MEDINA VALLEY INDEP SCH DIST</v>
      </c>
      <c r="D1217" t="s">
        <v>11</v>
      </c>
      <c r="E1217" t="s">
        <v>1001</v>
      </c>
      <c r="F1217" t="s">
        <v>1002</v>
      </c>
      <c r="G1217">
        <v>78009</v>
      </c>
      <c r="H1217">
        <v>2010</v>
      </c>
      <c r="I1217" s="1">
        <v>20526.84</v>
      </c>
      <c r="J1217" s="1">
        <v>27369.119999999999</v>
      </c>
      <c r="K1217" s="1">
        <v>20526.84</v>
      </c>
    </row>
    <row r="1218" spans="1:11" x14ac:dyDescent="0.35">
      <c r="A1218">
        <v>742337</v>
      </c>
      <c r="B1218">
        <v>2004368</v>
      </c>
      <c r="C1218" t="str">
        <f t="shared" si="18"/>
        <v>MEDINA VALLEY INDEP SCH DIST</v>
      </c>
      <c r="D1218" t="s">
        <v>11</v>
      </c>
      <c r="E1218" t="s">
        <v>1001</v>
      </c>
      <c r="F1218" t="s">
        <v>1002</v>
      </c>
      <c r="G1218">
        <v>78009</v>
      </c>
      <c r="H1218">
        <v>2010</v>
      </c>
      <c r="I1218" s="1">
        <v>11051.33</v>
      </c>
      <c r="J1218" s="1">
        <v>13814.16</v>
      </c>
      <c r="K1218" s="1">
        <v>11051.33</v>
      </c>
    </row>
    <row r="1219" spans="1:11" x14ac:dyDescent="0.35">
      <c r="A1219">
        <v>717055</v>
      </c>
      <c r="B1219">
        <v>1949873</v>
      </c>
      <c r="C1219" t="str">
        <f>"MELISSA INDEP SCHOOL DISTRICT"</f>
        <v>MELISSA INDEP SCHOOL DISTRICT</v>
      </c>
      <c r="D1219" t="s">
        <v>11</v>
      </c>
      <c r="E1219" t="s">
        <v>1003</v>
      </c>
      <c r="F1219" t="s">
        <v>1004</v>
      </c>
      <c r="G1219">
        <v>75454</v>
      </c>
      <c r="H1219">
        <v>2010</v>
      </c>
      <c r="I1219" s="1">
        <v>1615.43</v>
      </c>
      <c r="J1219" s="1">
        <v>3437.08</v>
      </c>
      <c r="K1219" s="1">
        <v>1615.43</v>
      </c>
    </row>
    <row r="1220" spans="1:11" x14ac:dyDescent="0.35">
      <c r="A1220">
        <v>752080</v>
      </c>
      <c r="B1220">
        <v>2032418</v>
      </c>
      <c r="C1220" t="str">
        <f>"MEMPHIS INDEP SCHOOL DISTRICT"</f>
        <v>MEMPHIS INDEP SCHOOL DISTRICT</v>
      </c>
      <c r="D1220" t="s">
        <v>11</v>
      </c>
      <c r="E1220" t="s">
        <v>1005</v>
      </c>
      <c r="F1220" t="s">
        <v>1006</v>
      </c>
      <c r="G1220">
        <v>79245</v>
      </c>
      <c r="H1220">
        <v>2010</v>
      </c>
      <c r="I1220" s="1">
        <v>1842.6</v>
      </c>
      <c r="J1220" s="1">
        <v>2220</v>
      </c>
      <c r="K1220" s="1">
        <v>1842.6</v>
      </c>
    </row>
    <row r="1221" spans="1:11" x14ac:dyDescent="0.35">
      <c r="A1221">
        <v>752080</v>
      </c>
      <c r="B1221">
        <v>2032179</v>
      </c>
      <c r="C1221" t="str">
        <f>"MEMPHIS INDEP SCHOOL DISTRICT"</f>
        <v>MEMPHIS INDEP SCHOOL DISTRICT</v>
      </c>
      <c r="D1221" t="s">
        <v>11</v>
      </c>
      <c r="E1221" t="s">
        <v>1005</v>
      </c>
      <c r="F1221" t="s">
        <v>1006</v>
      </c>
      <c r="G1221">
        <v>79245</v>
      </c>
      <c r="H1221">
        <v>2010</v>
      </c>
      <c r="I1221" s="1">
        <v>268.92</v>
      </c>
      <c r="J1221" s="1">
        <v>324</v>
      </c>
      <c r="K1221" s="1">
        <v>268.92</v>
      </c>
    </row>
    <row r="1222" spans="1:11" x14ac:dyDescent="0.35">
      <c r="A1222">
        <v>752080</v>
      </c>
      <c r="B1222">
        <v>2032205</v>
      </c>
      <c r="C1222" t="str">
        <f>"MEMPHIS INDEP SCHOOL DISTRICT"</f>
        <v>MEMPHIS INDEP SCHOOL DISTRICT</v>
      </c>
      <c r="D1222" t="s">
        <v>11</v>
      </c>
      <c r="E1222" t="s">
        <v>1005</v>
      </c>
      <c r="F1222" t="s">
        <v>1006</v>
      </c>
      <c r="G1222">
        <v>79245</v>
      </c>
      <c r="H1222">
        <v>2010</v>
      </c>
      <c r="I1222" s="1">
        <v>268.92</v>
      </c>
      <c r="J1222" s="1">
        <v>324</v>
      </c>
      <c r="K1222" s="1">
        <v>268.92</v>
      </c>
    </row>
    <row r="1223" spans="1:11" x14ac:dyDescent="0.35">
      <c r="A1223">
        <v>752080</v>
      </c>
      <c r="B1223">
        <v>2032260</v>
      </c>
      <c r="C1223" t="str">
        <f>"MEMPHIS INDEP SCHOOL DISTRICT"</f>
        <v>MEMPHIS INDEP SCHOOL DISTRICT</v>
      </c>
      <c r="D1223" t="s">
        <v>11</v>
      </c>
      <c r="E1223" t="s">
        <v>1005</v>
      </c>
      <c r="F1223" t="s">
        <v>1006</v>
      </c>
      <c r="G1223">
        <v>79245</v>
      </c>
      <c r="H1223">
        <v>2010</v>
      </c>
      <c r="I1223" s="1">
        <v>12284</v>
      </c>
      <c r="J1223" s="1">
        <v>19700</v>
      </c>
      <c r="K1223" s="1">
        <v>12284</v>
      </c>
    </row>
    <row r="1224" spans="1:11" x14ac:dyDescent="0.35">
      <c r="A1224">
        <v>752080</v>
      </c>
      <c r="B1224">
        <v>2032107</v>
      </c>
      <c r="C1224" t="str">
        <f>"MEMPHIS INDEP SCHOOL DISTRICT"</f>
        <v>MEMPHIS INDEP SCHOOL DISTRICT</v>
      </c>
      <c r="D1224" t="s">
        <v>11</v>
      </c>
      <c r="E1224" t="s">
        <v>1005</v>
      </c>
      <c r="F1224" t="s">
        <v>1006</v>
      </c>
      <c r="G1224">
        <v>79245</v>
      </c>
      <c r="H1224">
        <v>2010</v>
      </c>
      <c r="I1224" s="1">
        <v>15471.2</v>
      </c>
      <c r="J1224" s="1">
        <v>18640</v>
      </c>
      <c r="K1224" s="1">
        <v>15471.2</v>
      </c>
    </row>
    <row r="1225" spans="1:11" x14ac:dyDescent="0.35">
      <c r="A1225">
        <v>729707</v>
      </c>
      <c r="B1225">
        <v>1974038</v>
      </c>
      <c r="C1225" t="str">
        <f>"MENARD ISD"</f>
        <v>MENARD ISD</v>
      </c>
      <c r="D1225" t="s">
        <v>11</v>
      </c>
      <c r="E1225" t="s">
        <v>1007</v>
      </c>
      <c r="F1225" t="s">
        <v>1008</v>
      </c>
      <c r="G1225">
        <v>76859</v>
      </c>
      <c r="H1225">
        <v>2010</v>
      </c>
      <c r="I1225" s="1">
        <v>1260</v>
      </c>
      <c r="J1225" s="1">
        <v>1500</v>
      </c>
      <c r="K1225" s="1">
        <v>1260</v>
      </c>
    </row>
    <row r="1226" spans="1:11" x14ac:dyDescent="0.35">
      <c r="A1226">
        <v>750755</v>
      </c>
      <c r="B1226">
        <v>2048379</v>
      </c>
      <c r="C1226" t="str">
        <f>"MERCEDES INDEP SCHOOL DISTRICT"</f>
        <v>MERCEDES INDEP SCHOOL DISTRICT</v>
      </c>
      <c r="D1226" t="s">
        <v>11</v>
      </c>
      <c r="E1226" t="s">
        <v>1009</v>
      </c>
      <c r="F1226" t="s">
        <v>1010</v>
      </c>
      <c r="G1226">
        <v>78570</v>
      </c>
      <c r="H1226">
        <v>2010</v>
      </c>
      <c r="I1226" s="1">
        <v>7095.6</v>
      </c>
      <c r="J1226" s="1">
        <v>7884</v>
      </c>
      <c r="K1226" s="1">
        <v>7095.6</v>
      </c>
    </row>
    <row r="1227" spans="1:11" x14ac:dyDescent="0.35">
      <c r="A1227">
        <v>750755</v>
      </c>
      <c r="B1227">
        <v>2037802</v>
      </c>
      <c r="C1227" t="str">
        <f>"MERCEDES INDEP SCHOOL DISTRICT"</f>
        <v>MERCEDES INDEP SCHOOL DISTRICT</v>
      </c>
      <c r="D1227" t="s">
        <v>11</v>
      </c>
      <c r="E1227" t="s">
        <v>1009</v>
      </c>
      <c r="F1227" t="s">
        <v>1010</v>
      </c>
      <c r="G1227">
        <v>78570</v>
      </c>
      <c r="H1227">
        <v>2010</v>
      </c>
      <c r="I1227" s="1">
        <v>30985.200000000001</v>
      </c>
      <c r="J1227" s="1">
        <v>34428</v>
      </c>
      <c r="K1227" s="1">
        <v>30985.200000000001</v>
      </c>
    </row>
    <row r="1228" spans="1:11" x14ac:dyDescent="0.35">
      <c r="A1228">
        <v>746469</v>
      </c>
      <c r="B1228">
        <v>2015133</v>
      </c>
      <c r="C1228" t="str">
        <f>"MERIDIAN INDEP SCHOOL DISTRICT"</f>
        <v>MERIDIAN INDEP SCHOOL DISTRICT</v>
      </c>
      <c r="D1228" t="s">
        <v>11</v>
      </c>
      <c r="E1228" t="s">
        <v>1011</v>
      </c>
      <c r="F1228" t="s">
        <v>1012</v>
      </c>
      <c r="G1228">
        <v>76665</v>
      </c>
      <c r="H1228">
        <v>2010</v>
      </c>
      <c r="I1228" s="1">
        <v>15648</v>
      </c>
      <c r="J1228" s="1">
        <v>19560</v>
      </c>
      <c r="K1228" s="1">
        <v>15648</v>
      </c>
    </row>
    <row r="1229" spans="1:11" x14ac:dyDescent="0.35">
      <c r="A1229">
        <v>728689</v>
      </c>
      <c r="B1229">
        <v>1971811</v>
      </c>
      <c r="C1229" t="str">
        <f>"MEXIA INDEP SCHOOL DISTRICT"</f>
        <v>MEXIA INDEP SCHOOL DISTRICT</v>
      </c>
      <c r="D1229" t="s">
        <v>11</v>
      </c>
      <c r="E1229" t="s">
        <v>1013</v>
      </c>
      <c r="F1229" t="s">
        <v>1014</v>
      </c>
      <c r="G1229">
        <v>76667</v>
      </c>
      <c r="H1229">
        <v>2010</v>
      </c>
      <c r="I1229" s="1">
        <v>20916</v>
      </c>
      <c r="J1229" s="1">
        <v>62268</v>
      </c>
      <c r="K1229" s="1">
        <v>20916</v>
      </c>
    </row>
    <row r="1230" spans="1:11" x14ac:dyDescent="0.35">
      <c r="A1230">
        <v>741570</v>
      </c>
      <c r="B1230">
        <v>2002354</v>
      </c>
      <c r="C1230" t="str">
        <f>"MIDLAND INDEP SCHOOL DISTRICT"</f>
        <v>MIDLAND INDEP SCHOOL DISTRICT</v>
      </c>
      <c r="D1230" t="s">
        <v>11</v>
      </c>
      <c r="E1230" t="s">
        <v>1015</v>
      </c>
      <c r="F1230" t="s">
        <v>641</v>
      </c>
      <c r="G1230">
        <v>79701</v>
      </c>
      <c r="H1230">
        <v>2010</v>
      </c>
      <c r="I1230" s="1">
        <v>44505</v>
      </c>
      <c r="J1230" s="1">
        <v>64500</v>
      </c>
      <c r="K1230" s="1">
        <v>44505</v>
      </c>
    </row>
    <row r="1231" spans="1:11" x14ac:dyDescent="0.35">
      <c r="A1231">
        <v>741570</v>
      </c>
      <c r="B1231">
        <v>2002391</v>
      </c>
      <c r="C1231" t="str">
        <f>"MIDLAND INDEP SCHOOL DISTRICT"</f>
        <v>MIDLAND INDEP SCHOOL DISTRICT</v>
      </c>
      <c r="D1231" t="s">
        <v>11</v>
      </c>
      <c r="E1231" t="s">
        <v>1015</v>
      </c>
      <c r="F1231" t="s">
        <v>641</v>
      </c>
      <c r="G1231">
        <v>79701</v>
      </c>
      <c r="H1231">
        <v>2010</v>
      </c>
      <c r="I1231" s="1">
        <v>13455</v>
      </c>
      <c r="J1231" s="1">
        <v>19500</v>
      </c>
      <c r="K1231" s="1">
        <v>13455</v>
      </c>
    </row>
    <row r="1232" spans="1:11" x14ac:dyDescent="0.35">
      <c r="A1232">
        <v>741570</v>
      </c>
      <c r="B1232">
        <v>2002397</v>
      </c>
      <c r="C1232" t="str">
        <f>"MIDLAND INDEP SCHOOL DISTRICT"</f>
        <v>MIDLAND INDEP SCHOOL DISTRICT</v>
      </c>
      <c r="D1232" t="s">
        <v>11</v>
      </c>
      <c r="E1232" t="s">
        <v>1015</v>
      </c>
      <c r="F1232" t="s">
        <v>641</v>
      </c>
      <c r="G1232">
        <v>79701</v>
      </c>
      <c r="H1232">
        <v>2010</v>
      </c>
      <c r="I1232" s="1">
        <v>1483.03</v>
      </c>
      <c r="J1232" s="1">
        <v>2149.3200000000002</v>
      </c>
      <c r="K1232" s="1">
        <v>774.1</v>
      </c>
    </row>
    <row r="1233" spans="1:11" x14ac:dyDescent="0.35">
      <c r="A1233">
        <v>750050</v>
      </c>
      <c r="B1233">
        <v>2032278</v>
      </c>
      <c r="C1233" t="str">
        <f>"MIDLOTHIAN SCHOOL DISTRICT"</f>
        <v>MIDLOTHIAN SCHOOL DISTRICT</v>
      </c>
      <c r="D1233" t="s">
        <v>11</v>
      </c>
      <c r="E1233" t="s">
        <v>1016</v>
      </c>
      <c r="F1233" t="s">
        <v>1017</v>
      </c>
      <c r="G1233">
        <v>76065</v>
      </c>
      <c r="H1233">
        <v>2010</v>
      </c>
      <c r="I1233" s="1">
        <v>12672</v>
      </c>
      <c r="J1233" s="1">
        <v>26400</v>
      </c>
      <c r="K1233" s="1">
        <v>12672</v>
      </c>
    </row>
    <row r="1234" spans="1:11" x14ac:dyDescent="0.35">
      <c r="A1234">
        <v>753118</v>
      </c>
      <c r="B1234">
        <v>2036919</v>
      </c>
      <c r="C1234" t="str">
        <f>"MIDWAY INDEP SCHOOL DISTRICT"</f>
        <v>MIDWAY INDEP SCHOOL DISTRICT</v>
      </c>
      <c r="D1234" t="s">
        <v>11</v>
      </c>
      <c r="E1234" t="s">
        <v>1018</v>
      </c>
      <c r="F1234" t="s">
        <v>1019</v>
      </c>
      <c r="G1234">
        <v>76643</v>
      </c>
      <c r="H1234">
        <v>2010</v>
      </c>
      <c r="I1234" s="1">
        <v>12852</v>
      </c>
      <c r="J1234" s="1">
        <v>25200</v>
      </c>
      <c r="K1234" s="1">
        <v>12852</v>
      </c>
    </row>
    <row r="1235" spans="1:11" x14ac:dyDescent="0.35">
      <c r="A1235">
        <v>753118</v>
      </c>
      <c r="B1235">
        <v>2037231</v>
      </c>
      <c r="C1235" t="str">
        <f>"MIDWAY INDEP SCHOOL DISTRICT"</f>
        <v>MIDWAY INDEP SCHOOL DISTRICT</v>
      </c>
      <c r="D1235" t="s">
        <v>11</v>
      </c>
      <c r="E1235" t="s">
        <v>1018</v>
      </c>
      <c r="F1235" t="s">
        <v>1019</v>
      </c>
      <c r="G1235">
        <v>76643</v>
      </c>
      <c r="H1235">
        <v>2010</v>
      </c>
      <c r="I1235" s="1">
        <v>4284</v>
      </c>
      <c r="J1235" s="1">
        <v>8400</v>
      </c>
      <c r="K1235" s="1">
        <v>4284</v>
      </c>
    </row>
    <row r="1236" spans="1:11" x14ac:dyDescent="0.35">
      <c r="A1236">
        <v>753118</v>
      </c>
      <c r="B1236">
        <v>2036846</v>
      </c>
      <c r="C1236" t="str">
        <f>"MIDWAY INDEP SCHOOL DISTRICT"</f>
        <v>MIDWAY INDEP SCHOOL DISTRICT</v>
      </c>
      <c r="D1236" t="s">
        <v>11</v>
      </c>
      <c r="E1236" t="s">
        <v>1018</v>
      </c>
      <c r="F1236" t="s">
        <v>1019</v>
      </c>
      <c r="G1236">
        <v>76643</v>
      </c>
      <c r="H1236">
        <v>2010</v>
      </c>
      <c r="I1236" s="1">
        <v>6479.55</v>
      </c>
      <c r="J1236" s="1">
        <v>12705</v>
      </c>
      <c r="K1236" s="1">
        <v>6479.55</v>
      </c>
    </row>
    <row r="1237" spans="1:11" x14ac:dyDescent="0.35">
      <c r="A1237">
        <v>744734</v>
      </c>
      <c r="B1237">
        <v>2010580</v>
      </c>
      <c r="C1237" t="str">
        <f>"MIDWAY INDEP SCHOOL DISTRICT"</f>
        <v>MIDWAY INDEP SCHOOL DISTRICT</v>
      </c>
      <c r="D1237" t="s">
        <v>11</v>
      </c>
      <c r="E1237" t="s">
        <v>1020</v>
      </c>
      <c r="F1237" t="s">
        <v>691</v>
      </c>
      <c r="G1237">
        <v>76365</v>
      </c>
      <c r="H1237">
        <v>2010</v>
      </c>
      <c r="I1237" s="1">
        <v>4320</v>
      </c>
      <c r="J1237" s="1">
        <v>5400</v>
      </c>
      <c r="K1237" s="1">
        <v>4263.84</v>
      </c>
    </row>
    <row r="1238" spans="1:11" x14ac:dyDescent="0.35">
      <c r="A1238">
        <v>741119</v>
      </c>
      <c r="B1238">
        <v>2001107</v>
      </c>
      <c r="C1238" t="str">
        <f>"MILANO INDEP SCHOOL DISTRICT"</f>
        <v>MILANO INDEP SCHOOL DISTRICT</v>
      </c>
      <c r="D1238" t="s">
        <v>11</v>
      </c>
      <c r="E1238" t="s">
        <v>1021</v>
      </c>
      <c r="F1238" t="s">
        <v>1022</v>
      </c>
      <c r="G1238">
        <v>76556</v>
      </c>
      <c r="H1238">
        <v>2010</v>
      </c>
      <c r="I1238" s="1">
        <v>805.03</v>
      </c>
      <c r="J1238" s="1">
        <v>1059.25</v>
      </c>
      <c r="K1238" s="1">
        <v>796.29</v>
      </c>
    </row>
    <row r="1239" spans="1:11" x14ac:dyDescent="0.35">
      <c r="A1239">
        <v>741132</v>
      </c>
      <c r="B1239">
        <v>2001200</v>
      </c>
      <c r="C1239" t="str">
        <f>"MILANO INDEP SCHOOL DISTRICT"</f>
        <v>MILANO INDEP SCHOOL DISTRICT</v>
      </c>
      <c r="D1239" t="s">
        <v>11</v>
      </c>
      <c r="E1239" t="s">
        <v>1021</v>
      </c>
      <c r="F1239" t="s">
        <v>1022</v>
      </c>
      <c r="G1239">
        <v>76556</v>
      </c>
      <c r="H1239">
        <v>2010</v>
      </c>
      <c r="I1239" s="1">
        <v>342</v>
      </c>
      <c r="J1239" s="1">
        <v>450</v>
      </c>
    </row>
    <row r="1240" spans="1:11" x14ac:dyDescent="0.35">
      <c r="A1240">
        <v>737337</v>
      </c>
      <c r="B1240">
        <v>1992085</v>
      </c>
      <c r="C1240" t="str">
        <f>"MILANO INDEP SCHOOL DISTRICT"</f>
        <v>MILANO INDEP SCHOOL DISTRICT</v>
      </c>
      <c r="D1240" t="s">
        <v>11</v>
      </c>
      <c r="E1240" t="s">
        <v>1021</v>
      </c>
      <c r="F1240" t="s">
        <v>1022</v>
      </c>
      <c r="G1240">
        <v>76556</v>
      </c>
      <c r="H1240">
        <v>2010</v>
      </c>
      <c r="I1240" s="1">
        <v>21505.42</v>
      </c>
      <c r="J1240" s="1">
        <v>28296.6</v>
      </c>
      <c r="K1240" s="1">
        <v>21505.42</v>
      </c>
    </row>
    <row r="1241" spans="1:11" x14ac:dyDescent="0.35">
      <c r="A1241">
        <v>739877</v>
      </c>
      <c r="B1241">
        <v>1998192</v>
      </c>
      <c r="C1241" t="str">
        <f>"MILANO INDEP SCHOOL DISTRICT"</f>
        <v>MILANO INDEP SCHOOL DISTRICT</v>
      </c>
      <c r="D1241" t="s">
        <v>11</v>
      </c>
      <c r="E1241" t="s">
        <v>1021</v>
      </c>
      <c r="F1241" t="s">
        <v>1022</v>
      </c>
      <c r="G1241">
        <v>76556</v>
      </c>
      <c r="H1241">
        <v>2010</v>
      </c>
      <c r="I1241" s="1">
        <v>6365.04</v>
      </c>
      <c r="J1241" s="1">
        <v>8375.0499999999993</v>
      </c>
      <c r="K1241" s="1">
        <v>6365.04</v>
      </c>
    </row>
    <row r="1242" spans="1:11" x14ac:dyDescent="0.35">
      <c r="A1242">
        <v>722185</v>
      </c>
      <c r="B1242">
        <v>1958507</v>
      </c>
      <c r="C1242" t="str">
        <f>"MILDRED INDEP SCHOOL DISTRICT"</f>
        <v>MILDRED INDEP SCHOOL DISTRICT</v>
      </c>
      <c r="D1242" t="s">
        <v>11</v>
      </c>
      <c r="E1242" t="s">
        <v>1023</v>
      </c>
      <c r="F1242" t="s">
        <v>360</v>
      </c>
      <c r="G1242">
        <v>75110</v>
      </c>
      <c r="H1242">
        <v>2010</v>
      </c>
      <c r="I1242" s="1">
        <v>2092.8000000000002</v>
      </c>
      <c r="J1242" s="1">
        <v>3270</v>
      </c>
      <c r="K1242" s="1">
        <v>2092.8000000000002</v>
      </c>
    </row>
    <row r="1243" spans="1:11" x14ac:dyDescent="0.35">
      <c r="A1243">
        <v>722185</v>
      </c>
      <c r="B1243">
        <v>1979057</v>
      </c>
      <c r="C1243" t="str">
        <f>"MILDRED INDEP SCHOOL DISTRICT"</f>
        <v>MILDRED INDEP SCHOOL DISTRICT</v>
      </c>
      <c r="D1243" t="s">
        <v>11</v>
      </c>
      <c r="E1243" t="s">
        <v>1023</v>
      </c>
      <c r="F1243" t="s">
        <v>360</v>
      </c>
      <c r="G1243">
        <v>75110</v>
      </c>
      <c r="H1243">
        <v>2010</v>
      </c>
      <c r="I1243" s="1">
        <v>4509.7</v>
      </c>
      <c r="J1243" s="1">
        <v>7046.4</v>
      </c>
      <c r="K1243" s="1">
        <v>4509.7</v>
      </c>
    </row>
    <row r="1244" spans="1:11" x14ac:dyDescent="0.35">
      <c r="A1244">
        <v>740711</v>
      </c>
      <c r="B1244">
        <v>2027592</v>
      </c>
      <c r="C1244" t="str">
        <f>"MILLSAP INDEP SCHOOL DISTRICT"</f>
        <v>MILLSAP INDEP SCHOOL DISTRICT</v>
      </c>
      <c r="D1244" t="s">
        <v>11</v>
      </c>
      <c r="E1244" t="s">
        <v>1024</v>
      </c>
      <c r="F1244" t="s">
        <v>1025</v>
      </c>
      <c r="G1244">
        <v>76066</v>
      </c>
      <c r="H1244">
        <v>2010</v>
      </c>
      <c r="I1244" s="1">
        <v>9108</v>
      </c>
      <c r="J1244" s="1">
        <v>13200</v>
      </c>
      <c r="K1244" s="1">
        <v>9089.69</v>
      </c>
    </row>
    <row r="1245" spans="1:11" x14ac:dyDescent="0.35">
      <c r="A1245">
        <v>752923</v>
      </c>
      <c r="B1245">
        <v>2034883</v>
      </c>
      <c r="C1245" t="str">
        <f>"MINEOLA INDEP SCHOOL DISTRICT"</f>
        <v>MINEOLA INDEP SCHOOL DISTRICT</v>
      </c>
      <c r="D1245" t="s">
        <v>11</v>
      </c>
      <c r="E1245" t="s">
        <v>1026</v>
      </c>
      <c r="F1245" t="s">
        <v>1027</v>
      </c>
      <c r="G1245">
        <v>75773</v>
      </c>
      <c r="H1245">
        <v>2010</v>
      </c>
      <c r="I1245" s="1">
        <v>6720</v>
      </c>
      <c r="J1245" s="1">
        <v>8400</v>
      </c>
      <c r="K1245" s="1">
        <v>6720</v>
      </c>
    </row>
    <row r="1246" spans="1:11" x14ac:dyDescent="0.35">
      <c r="A1246">
        <v>752923</v>
      </c>
      <c r="B1246">
        <v>2035102</v>
      </c>
      <c r="C1246" t="str">
        <f>"MINEOLA INDEP SCHOOL DISTRICT"</f>
        <v>MINEOLA INDEP SCHOOL DISTRICT</v>
      </c>
      <c r="D1246" t="s">
        <v>11</v>
      </c>
      <c r="E1246" t="s">
        <v>1026</v>
      </c>
      <c r="F1246" t="s">
        <v>1027</v>
      </c>
      <c r="G1246">
        <v>75773</v>
      </c>
      <c r="H1246">
        <v>2010</v>
      </c>
      <c r="I1246" s="1">
        <v>3132</v>
      </c>
      <c r="J1246" s="1">
        <v>3915</v>
      </c>
      <c r="K1246" s="1">
        <v>3132</v>
      </c>
    </row>
    <row r="1247" spans="1:11" x14ac:dyDescent="0.35">
      <c r="A1247">
        <v>719965</v>
      </c>
      <c r="B1247">
        <v>1978563</v>
      </c>
      <c r="C1247" t="str">
        <f>"MINERAL WELLS INDEP SCH DIST"</f>
        <v>MINERAL WELLS INDEP SCH DIST</v>
      </c>
      <c r="D1247" t="s">
        <v>11</v>
      </c>
      <c r="E1247" t="s">
        <v>1028</v>
      </c>
      <c r="F1247" t="s">
        <v>1029</v>
      </c>
      <c r="G1247">
        <v>76067</v>
      </c>
      <c r="H1247">
        <v>2010</v>
      </c>
      <c r="I1247" s="1">
        <v>30800</v>
      </c>
      <c r="J1247" s="1">
        <v>42000</v>
      </c>
      <c r="K1247" s="1">
        <v>30800</v>
      </c>
    </row>
    <row r="1248" spans="1:11" x14ac:dyDescent="0.35">
      <c r="A1248">
        <v>719965</v>
      </c>
      <c r="B1248">
        <v>1978571</v>
      </c>
      <c r="C1248" t="str">
        <f>"MINERAL WELLS INDEP SCH DIST"</f>
        <v>MINERAL WELLS INDEP SCH DIST</v>
      </c>
      <c r="D1248" t="s">
        <v>11</v>
      </c>
      <c r="E1248" t="s">
        <v>1028</v>
      </c>
      <c r="F1248" t="s">
        <v>1029</v>
      </c>
      <c r="G1248">
        <v>76067</v>
      </c>
      <c r="H1248">
        <v>2010</v>
      </c>
      <c r="I1248" s="1">
        <v>3859.92</v>
      </c>
      <c r="J1248" s="1">
        <v>6120</v>
      </c>
      <c r="K1248" s="1">
        <v>3859.92</v>
      </c>
    </row>
    <row r="1249" spans="1:11" x14ac:dyDescent="0.35">
      <c r="A1249">
        <v>719965</v>
      </c>
      <c r="B1249">
        <v>1978569</v>
      </c>
      <c r="C1249" t="str">
        <f>"MINERAL WELLS INDEP SCH DIST"</f>
        <v>MINERAL WELLS INDEP SCH DIST</v>
      </c>
      <c r="D1249" t="s">
        <v>11</v>
      </c>
      <c r="E1249" t="s">
        <v>1028</v>
      </c>
      <c r="F1249" t="s">
        <v>1029</v>
      </c>
      <c r="G1249">
        <v>76067</v>
      </c>
      <c r="H1249">
        <v>2010</v>
      </c>
      <c r="I1249" s="1">
        <v>1728</v>
      </c>
      <c r="J1249" s="1">
        <v>3600</v>
      </c>
      <c r="K1249" s="1">
        <v>1728</v>
      </c>
    </row>
    <row r="1250" spans="1:11" x14ac:dyDescent="0.35">
      <c r="A1250">
        <v>719965</v>
      </c>
      <c r="B1250">
        <v>1978574</v>
      </c>
      <c r="C1250" t="str">
        <f>"MINERAL WELLS INDEP SCH DIST"</f>
        <v>MINERAL WELLS INDEP SCH DIST</v>
      </c>
      <c r="D1250" t="s">
        <v>11</v>
      </c>
      <c r="E1250" t="s">
        <v>1028</v>
      </c>
      <c r="F1250" t="s">
        <v>1029</v>
      </c>
      <c r="G1250">
        <v>76067</v>
      </c>
      <c r="H1250">
        <v>2010</v>
      </c>
      <c r="I1250" s="1">
        <v>5712</v>
      </c>
      <c r="J1250" s="1">
        <v>7140</v>
      </c>
      <c r="K1250" s="1">
        <v>5712</v>
      </c>
    </row>
    <row r="1251" spans="1:11" x14ac:dyDescent="0.35">
      <c r="A1251">
        <v>735807</v>
      </c>
      <c r="B1251">
        <v>1988468</v>
      </c>
      <c r="C1251" t="str">
        <f>"MISSION CONS INDEP SCHOOL DIST"</f>
        <v>MISSION CONS INDEP SCHOOL DIST</v>
      </c>
      <c r="D1251" t="s">
        <v>11</v>
      </c>
      <c r="E1251" t="s">
        <v>1030</v>
      </c>
      <c r="F1251" t="s">
        <v>1031</v>
      </c>
      <c r="G1251">
        <v>78572</v>
      </c>
      <c r="H1251">
        <v>2010</v>
      </c>
      <c r="I1251" s="1">
        <v>4272</v>
      </c>
      <c r="J1251" s="1">
        <v>4800</v>
      </c>
      <c r="K1251" s="1">
        <v>4272</v>
      </c>
    </row>
    <row r="1252" spans="1:11" x14ac:dyDescent="0.35">
      <c r="A1252">
        <v>735319</v>
      </c>
      <c r="B1252">
        <v>1988368</v>
      </c>
      <c r="C1252" t="str">
        <f>"MISSION CONS INDEP SCHOOL DIST"</f>
        <v>MISSION CONS INDEP SCHOOL DIST</v>
      </c>
      <c r="D1252" t="s">
        <v>11</v>
      </c>
      <c r="E1252" t="s">
        <v>1030</v>
      </c>
      <c r="F1252" t="s">
        <v>1031</v>
      </c>
      <c r="G1252">
        <v>78572</v>
      </c>
      <c r="H1252">
        <v>2010</v>
      </c>
      <c r="I1252" s="1">
        <v>53346.6</v>
      </c>
      <c r="J1252" s="1">
        <v>59940</v>
      </c>
      <c r="K1252" s="1">
        <v>53346.6</v>
      </c>
    </row>
    <row r="1253" spans="1:11" x14ac:dyDescent="0.35">
      <c r="A1253">
        <v>738256</v>
      </c>
      <c r="B1253">
        <v>1994042</v>
      </c>
      <c r="C1253" t="str">
        <f>"MISSION CONS INDEP SCHOOL DIST"</f>
        <v>MISSION CONS INDEP SCHOOL DIST</v>
      </c>
      <c r="D1253" t="s">
        <v>11</v>
      </c>
      <c r="E1253" t="s">
        <v>1030</v>
      </c>
      <c r="F1253" t="s">
        <v>1031</v>
      </c>
      <c r="G1253">
        <v>78572</v>
      </c>
      <c r="H1253">
        <v>2010</v>
      </c>
      <c r="I1253" s="1">
        <v>128786.49</v>
      </c>
      <c r="J1253" s="1">
        <v>144703.92000000001</v>
      </c>
      <c r="K1253" s="1">
        <v>13223.27</v>
      </c>
    </row>
    <row r="1254" spans="1:11" x14ac:dyDescent="0.35">
      <c r="A1254">
        <v>763339</v>
      </c>
      <c r="B1254">
        <v>2062573</v>
      </c>
      <c r="C1254" t="str">
        <f>"MISSION CONS INDEP SCHOOL DIST"</f>
        <v>MISSION CONS INDEP SCHOOL DIST</v>
      </c>
      <c r="D1254" t="s">
        <v>11</v>
      </c>
      <c r="E1254" t="s">
        <v>1030</v>
      </c>
      <c r="F1254" t="s">
        <v>1031</v>
      </c>
      <c r="G1254">
        <v>78572</v>
      </c>
      <c r="H1254">
        <v>2010</v>
      </c>
      <c r="I1254" s="1">
        <v>21805</v>
      </c>
      <c r="J1254" s="1">
        <v>24500</v>
      </c>
      <c r="K1254" s="1">
        <v>21805</v>
      </c>
    </row>
    <row r="1255" spans="1:11" x14ac:dyDescent="0.35">
      <c r="A1255">
        <v>719737</v>
      </c>
      <c r="B1255">
        <v>1998079</v>
      </c>
      <c r="C1255" t="str">
        <f t="shared" ref="C1255:C1260" si="19">"MONAHANS-WICKETT-PYOTE I S D"</f>
        <v>MONAHANS-WICKETT-PYOTE I S D</v>
      </c>
      <c r="D1255" t="s">
        <v>11</v>
      </c>
      <c r="E1255" t="s">
        <v>1032</v>
      </c>
      <c r="F1255" t="s">
        <v>1033</v>
      </c>
      <c r="G1255">
        <v>79756</v>
      </c>
      <c r="H1255">
        <v>2010</v>
      </c>
      <c r="I1255" s="1">
        <v>9609.6</v>
      </c>
      <c r="J1255" s="1">
        <v>12480</v>
      </c>
      <c r="K1255" s="1">
        <v>4804.8</v>
      </c>
    </row>
    <row r="1256" spans="1:11" x14ac:dyDescent="0.35">
      <c r="A1256">
        <v>719737</v>
      </c>
      <c r="B1256">
        <v>1998202</v>
      </c>
      <c r="C1256" t="str">
        <f t="shared" si="19"/>
        <v>MONAHANS-WICKETT-PYOTE I S D</v>
      </c>
      <c r="D1256" t="s">
        <v>11</v>
      </c>
      <c r="E1256" t="s">
        <v>1032</v>
      </c>
      <c r="F1256" t="s">
        <v>1033</v>
      </c>
      <c r="G1256">
        <v>79756</v>
      </c>
      <c r="H1256">
        <v>2010</v>
      </c>
      <c r="I1256" s="1">
        <v>0</v>
      </c>
      <c r="J1256" s="1">
        <v>0</v>
      </c>
    </row>
    <row r="1257" spans="1:11" x14ac:dyDescent="0.35">
      <c r="A1257">
        <v>719737</v>
      </c>
      <c r="B1257">
        <v>1998685</v>
      </c>
      <c r="C1257" t="str">
        <f t="shared" si="19"/>
        <v>MONAHANS-WICKETT-PYOTE I S D</v>
      </c>
      <c r="D1257" t="s">
        <v>11</v>
      </c>
      <c r="E1257" t="s">
        <v>1032</v>
      </c>
      <c r="F1257" t="s">
        <v>1033</v>
      </c>
      <c r="G1257">
        <v>79756</v>
      </c>
      <c r="H1257">
        <v>2010</v>
      </c>
      <c r="I1257" s="1">
        <v>2112</v>
      </c>
      <c r="J1257" s="1">
        <v>2640</v>
      </c>
      <c r="K1257" s="1">
        <v>2112</v>
      </c>
    </row>
    <row r="1258" spans="1:11" x14ac:dyDescent="0.35">
      <c r="A1258">
        <v>719737</v>
      </c>
      <c r="B1258">
        <v>1998900</v>
      </c>
      <c r="C1258" t="str">
        <f t="shared" si="19"/>
        <v>MONAHANS-WICKETT-PYOTE I S D</v>
      </c>
      <c r="D1258" t="s">
        <v>11</v>
      </c>
      <c r="E1258" t="s">
        <v>1032</v>
      </c>
      <c r="F1258" t="s">
        <v>1033</v>
      </c>
      <c r="G1258">
        <v>79756</v>
      </c>
      <c r="H1258">
        <v>2010</v>
      </c>
      <c r="I1258" s="1">
        <v>5392.08</v>
      </c>
      <c r="J1258" s="1">
        <v>5991.2</v>
      </c>
      <c r="K1258" s="1">
        <v>2471.04</v>
      </c>
    </row>
    <row r="1259" spans="1:11" x14ac:dyDescent="0.35">
      <c r="A1259">
        <v>719737</v>
      </c>
      <c r="B1259">
        <v>1998926</v>
      </c>
      <c r="C1259" t="str">
        <f t="shared" si="19"/>
        <v>MONAHANS-WICKETT-PYOTE I S D</v>
      </c>
      <c r="D1259" t="s">
        <v>11</v>
      </c>
      <c r="E1259" t="s">
        <v>1032</v>
      </c>
      <c r="F1259" t="s">
        <v>1033</v>
      </c>
      <c r="G1259">
        <v>79756</v>
      </c>
      <c r="H1259">
        <v>2010</v>
      </c>
      <c r="I1259" s="1">
        <v>2596.48</v>
      </c>
      <c r="J1259" s="1">
        <v>3245.6</v>
      </c>
    </row>
    <row r="1260" spans="1:11" x14ac:dyDescent="0.35">
      <c r="A1260">
        <v>719737</v>
      </c>
      <c r="B1260">
        <v>1998886</v>
      </c>
      <c r="C1260" t="str">
        <f t="shared" si="19"/>
        <v>MONAHANS-WICKETT-PYOTE I S D</v>
      </c>
      <c r="D1260" t="s">
        <v>11</v>
      </c>
      <c r="E1260" t="s">
        <v>1032</v>
      </c>
      <c r="F1260" t="s">
        <v>1033</v>
      </c>
      <c r="G1260">
        <v>79756</v>
      </c>
      <c r="H1260">
        <v>2010</v>
      </c>
      <c r="I1260" s="1">
        <v>4792.96</v>
      </c>
      <c r="J1260" s="1">
        <v>5991.2</v>
      </c>
      <c r="K1260" s="1">
        <v>2196.48</v>
      </c>
    </row>
    <row r="1261" spans="1:11" x14ac:dyDescent="0.35">
      <c r="A1261">
        <v>717324</v>
      </c>
      <c r="B1261">
        <v>1950271</v>
      </c>
      <c r="C1261" t="str">
        <f>"MONTAGUE I.S.D."</f>
        <v>MONTAGUE I.S.D.</v>
      </c>
      <c r="D1261" t="s">
        <v>11</v>
      </c>
      <c r="E1261" t="s">
        <v>1034</v>
      </c>
      <c r="F1261" t="s">
        <v>1035</v>
      </c>
      <c r="G1261">
        <v>76251</v>
      </c>
      <c r="H1261">
        <v>2010</v>
      </c>
      <c r="I1261" s="1">
        <v>664</v>
      </c>
      <c r="J1261" s="1">
        <v>830</v>
      </c>
      <c r="K1261" s="1">
        <v>663.48</v>
      </c>
    </row>
    <row r="1262" spans="1:11" x14ac:dyDescent="0.35">
      <c r="A1262">
        <v>717324</v>
      </c>
      <c r="B1262">
        <v>1950235</v>
      </c>
      <c r="C1262" t="str">
        <f>"MONTAGUE I.S.D."</f>
        <v>MONTAGUE I.S.D.</v>
      </c>
      <c r="D1262" t="s">
        <v>11</v>
      </c>
      <c r="E1262" t="s">
        <v>1034</v>
      </c>
      <c r="F1262" t="s">
        <v>1035</v>
      </c>
      <c r="G1262">
        <v>76251</v>
      </c>
      <c r="H1262">
        <v>2010</v>
      </c>
      <c r="I1262" s="1">
        <v>4263.84</v>
      </c>
      <c r="J1262" s="1">
        <v>5329.8</v>
      </c>
      <c r="K1262" s="1">
        <v>4263.84</v>
      </c>
    </row>
    <row r="1263" spans="1:11" x14ac:dyDescent="0.35">
      <c r="A1263">
        <v>748141</v>
      </c>
      <c r="B1263">
        <v>2019798</v>
      </c>
      <c r="C1263" t="str">
        <f>"MONTE ALTO INDEP SCHOOL DIST"</f>
        <v>MONTE ALTO INDEP SCHOOL DIST</v>
      </c>
      <c r="D1263" t="s">
        <v>11</v>
      </c>
      <c r="E1263" t="s">
        <v>1036</v>
      </c>
      <c r="F1263" t="s">
        <v>1037</v>
      </c>
      <c r="G1263">
        <v>78538</v>
      </c>
      <c r="H1263">
        <v>2010</v>
      </c>
      <c r="I1263" s="1">
        <v>2970.54</v>
      </c>
      <c r="J1263" s="1">
        <v>3300.6</v>
      </c>
      <c r="K1263" s="1">
        <v>2355.29</v>
      </c>
    </row>
    <row r="1264" spans="1:11" x14ac:dyDescent="0.35">
      <c r="A1264">
        <v>748105</v>
      </c>
      <c r="B1264">
        <v>2019708</v>
      </c>
      <c r="C1264" t="str">
        <f>"MONTE ALTO INDEP SCHOOL DIST"</f>
        <v>MONTE ALTO INDEP SCHOOL DIST</v>
      </c>
      <c r="D1264" t="s">
        <v>11</v>
      </c>
      <c r="E1264" t="s">
        <v>1036</v>
      </c>
      <c r="F1264" t="s">
        <v>1037</v>
      </c>
      <c r="G1264">
        <v>78538</v>
      </c>
      <c r="H1264">
        <v>2010</v>
      </c>
      <c r="I1264" s="1">
        <v>34646.400000000001</v>
      </c>
      <c r="J1264" s="1">
        <v>38496</v>
      </c>
      <c r="K1264" s="1">
        <v>34646.400000000001</v>
      </c>
    </row>
    <row r="1265" spans="1:11" x14ac:dyDescent="0.35">
      <c r="A1265">
        <v>748700</v>
      </c>
      <c r="B1265">
        <v>2021650</v>
      </c>
      <c r="C1265" t="str">
        <f>"MONTE ALTO INDEP SCHOOL DIST"</f>
        <v>MONTE ALTO INDEP SCHOOL DIST</v>
      </c>
      <c r="D1265" t="s">
        <v>11</v>
      </c>
      <c r="E1265" t="s">
        <v>1036</v>
      </c>
      <c r="F1265" t="s">
        <v>1037</v>
      </c>
      <c r="G1265">
        <v>78538</v>
      </c>
      <c r="H1265">
        <v>2010</v>
      </c>
      <c r="I1265" s="1">
        <v>11977.2</v>
      </c>
      <c r="J1265" s="1">
        <v>13308</v>
      </c>
      <c r="K1265" s="1">
        <v>11977.2</v>
      </c>
    </row>
    <row r="1266" spans="1:11" x14ac:dyDescent="0.35">
      <c r="A1266">
        <v>748216</v>
      </c>
      <c r="B1266">
        <v>2020074</v>
      </c>
      <c r="C1266" t="str">
        <f>"MONTE ALTO INDEP SCHOOL DIST"</f>
        <v>MONTE ALTO INDEP SCHOOL DIST</v>
      </c>
      <c r="D1266" t="s">
        <v>11</v>
      </c>
      <c r="E1266" t="s">
        <v>1036</v>
      </c>
      <c r="F1266" t="s">
        <v>1037</v>
      </c>
      <c r="G1266">
        <v>78538</v>
      </c>
      <c r="H1266">
        <v>2010</v>
      </c>
      <c r="I1266" s="1">
        <v>0</v>
      </c>
      <c r="J1266" s="1">
        <v>0</v>
      </c>
    </row>
    <row r="1267" spans="1:11" x14ac:dyDescent="0.35">
      <c r="A1267">
        <v>761633</v>
      </c>
      <c r="B1267">
        <v>2059531</v>
      </c>
      <c r="C1267" t="str">
        <f>"MONTGOMERY INDEP SCHOOL DIST"</f>
        <v>MONTGOMERY INDEP SCHOOL DIST</v>
      </c>
      <c r="D1267" t="s">
        <v>11</v>
      </c>
      <c r="E1267" t="s">
        <v>1038</v>
      </c>
      <c r="F1267" t="s">
        <v>1039</v>
      </c>
      <c r="G1267">
        <v>77356</v>
      </c>
      <c r="H1267">
        <v>2010</v>
      </c>
      <c r="I1267" s="1">
        <v>7200</v>
      </c>
      <c r="J1267" s="1">
        <v>14400</v>
      </c>
      <c r="K1267" s="1">
        <v>7200</v>
      </c>
    </row>
    <row r="1268" spans="1:11" x14ac:dyDescent="0.35">
      <c r="A1268">
        <v>761633</v>
      </c>
      <c r="B1268">
        <v>2059565</v>
      </c>
      <c r="C1268" t="str">
        <f>"MONTGOMERY INDEP SCHOOL DIST"</f>
        <v>MONTGOMERY INDEP SCHOOL DIST</v>
      </c>
      <c r="D1268" t="s">
        <v>11</v>
      </c>
      <c r="E1268" t="s">
        <v>1038</v>
      </c>
      <c r="F1268" t="s">
        <v>1039</v>
      </c>
      <c r="G1268">
        <v>77356</v>
      </c>
      <c r="H1268">
        <v>2010</v>
      </c>
      <c r="I1268" s="1">
        <v>4500</v>
      </c>
      <c r="J1268" s="1">
        <v>9000</v>
      </c>
      <c r="K1268" s="1">
        <v>4500</v>
      </c>
    </row>
    <row r="1269" spans="1:11" x14ac:dyDescent="0.35">
      <c r="A1269">
        <v>761633</v>
      </c>
      <c r="B1269">
        <v>2059727</v>
      </c>
      <c r="C1269" t="str">
        <f>"MONTGOMERY INDEP SCHOOL DIST"</f>
        <v>MONTGOMERY INDEP SCHOOL DIST</v>
      </c>
      <c r="D1269" t="s">
        <v>11</v>
      </c>
      <c r="E1269" t="s">
        <v>1038</v>
      </c>
      <c r="F1269" t="s">
        <v>1039</v>
      </c>
      <c r="G1269">
        <v>77356</v>
      </c>
      <c r="H1269">
        <v>2010</v>
      </c>
      <c r="I1269" s="1">
        <v>4512.54</v>
      </c>
      <c r="J1269" s="1">
        <v>9025.08</v>
      </c>
      <c r="K1269" s="1">
        <v>4512.54</v>
      </c>
    </row>
    <row r="1270" spans="1:11" x14ac:dyDescent="0.35">
      <c r="A1270">
        <v>748491</v>
      </c>
      <c r="B1270">
        <v>2038017</v>
      </c>
      <c r="C1270" t="str">
        <f>"MOODY INDEP SCHOOL DISTRICT"</f>
        <v>MOODY INDEP SCHOOL DISTRICT</v>
      </c>
      <c r="D1270" t="s">
        <v>11</v>
      </c>
      <c r="E1270" t="s">
        <v>1040</v>
      </c>
      <c r="F1270" t="s">
        <v>1041</v>
      </c>
      <c r="G1270">
        <v>76557</v>
      </c>
      <c r="H1270">
        <v>2010</v>
      </c>
      <c r="I1270" s="1">
        <v>13152</v>
      </c>
      <c r="J1270" s="1">
        <v>16440</v>
      </c>
      <c r="K1270" s="1">
        <v>13152</v>
      </c>
    </row>
    <row r="1271" spans="1:11" x14ac:dyDescent="0.35">
      <c r="A1271">
        <v>724350</v>
      </c>
      <c r="B1271">
        <v>1962295</v>
      </c>
      <c r="C1271" t="str">
        <f>"MORAN INDEP SCHOOL DISTRICT"</f>
        <v>MORAN INDEP SCHOOL DISTRICT</v>
      </c>
      <c r="D1271" t="s">
        <v>11</v>
      </c>
      <c r="E1271" t="s">
        <v>1042</v>
      </c>
      <c r="F1271" t="s">
        <v>1043</v>
      </c>
      <c r="G1271">
        <v>76464</v>
      </c>
      <c r="H1271">
        <v>2010</v>
      </c>
      <c r="I1271" s="1">
        <v>2647.13</v>
      </c>
      <c r="J1271" s="1">
        <v>2941.25</v>
      </c>
      <c r="K1271" s="1">
        <v>396.9</v>
      </c>
    </row>
    <row r="1272" spans="1:11" x14ac:dyDescent="0.35">
      <c r="A1272">
        <v>722108</v>
      </c>
      <c r="B1272">
        <v>1970769</v>
      </c>
      <c r="C1272" t="str">
        <f>"MORGAN INDEP SCHOOL DISTRICT"</f>
        <v>MORGAN INDEP SCHOOL DISTRICT</v>
      </c>
      <c r="D1272" t="s">
        <v>11</v>
      </c>
      <c r="E1272" t="s">
        <v>1044</v>
      </c>
      <c r="F1272" t="s">
        <v>1045</v>
      </c>
      <c r="G1272">
        <v>76671</v>
      </c>
      <c r="H1272">
        <v>2010</v>
      </c>
      <c r="I1272" s="1">
        <v>22356</v>
      </c>
      <c r="J1272" s="1">
        <v>24840</v>
      </c>
      <c r="K1272" s="1">
        <v>22356</v>
      </c>
    </row>
    <row r="1273" spans="1:11" x14ac:dyDescent="0.35">
      <c r="A1273">
        <v>709127</v>
      </c>
      <c r="B1273">
        <v>1974263</v>
      </c>
      <c r="C1273" t="str">
        <f>"MORGAN MILL ELEM &amp; JR HIGH SCH"</f>
        <v>MORGAN MILL ELEM &amp; JR HIGH SCH</v>
      </c>
      <c r="D1273" t="s">
        <v>11</v>
      </c>
      <c r="E1273" t="s">
        <v>1046</v>
      </c>
      <c r="F1273" t="s">
        <v>1047</v>
      </c>
      <c r="G1273">
        <v>76465</v>
      </c>
      <c r="H1273">
        <v>2010</v>
      </c>
      <c r="I1273" s="1">
        <v>1596</v>
      </c>
      <c r="J1273" s="1">
        <v>2280</v>
      </c>
      <c r="K1273" s="1">
        <v>1596</v>
      </c>
    </row>
    <row r="1274" spans="1:11" x14ac:dyDescent="0.35">
      <c r="A1274">
        <v>709127</v>
      </c>
      <c r="B1274">
        <v>1980529</v>
      </c>
      <c r="C1274" t="str">
        <f>"MORGAN MILL ELEM &amp; JR HIGH SCH"</f>
        <v>MORGAN MILL ELEM &amp; JR HIGH SCH</v>
      </c>
      <c r="D1274" t="s">
        <v>11</v>
      </c>
      <c r="E1274" t="s">
        <v>1046</v>
      </c>
      <c r="F1274" t="s">
        <v>1047</v>
      </c>
      <c r="G1274">
        <v>76465</v>
      </c>
      <c r="H1274">
        <v>2010</v>
      </c>
      <c r="I1274" s="1">
        <v>3415.44</v>
      </c>
      <c r="J1274" s="1">
        <v>4879.2</v>
      </c>
      <c r="K1274" s="1">
        <v>3373.2</v>
      </c>
    </row>
    <row r="1275" spans="1:11" x14ac:dyDescent="0.35">
      <c r="A1275">
        <v>709970</v>
      </c>
      <c r="B1275">
        <v>1939511</v>
      </c>
      <c r="C1275" t="str">
        <f>"MORTON INDEP SCHOOL DISTRICT"</f>
        <v>MORTON INDEP SCHOOL DISTRICT</v>
      </c>
      <c r="D1275" t="s">
        <v>11</v>
      </c>
      <c r="E1275" t="s">
        <v>1048</v>
      </c>
      <c r="F1275" t="s">
        <v>1049</v>
      </c>
      <c r="G1275">
        <v>79346</v>
      </c>
      <c r="H1275">
        <v>2010</v>
      </c>
      <c r="I1275" s="1">
        <v>6480</v>
      </c>
      <c r="J1275" s="1">
        <v>7200</v>
      </c>
      <c r="K1275" s="1">
        <v>6480</v>
      </c>
    </row>
    <row r="1276" spans="1:11" x14ac:dyDescent="0.35">
      <c r="A1276">
        <v>709970</v>
      </c>
      <c r="B1276">
        <v>1939508</v>
      </c>
      <c r="C1276" t="str">
        <f>"MORTON INDEP SCHOOL DISTRICT"</f>
        <v>MORTON INDEP SCHOOL DISTRICT</v>
      </c>
      <c r="D1276" t="s">
        <v>11</v>
      </c>
      <c r="E1276" t="s">
        <v>1048</v>
      </c>
      <c r="F1276" t="s">
        <v>1049</v>
      </c>
      <c r="G1276">
        <v>79346</v>
      </c>
      <c r="H1276">
        <v>2010</v>
      </c>
      <c r="I1276" s="1">
        <v>9720</v>
      </c>
      <c r="J1276" s="1">
        <v>10800</v>
      </c>
      <c r="K1276" s="1">
        <v>7624.8</v>
      </c>
    </row>
    <row r="1277" spans="1:11" x14ac:dyDescent="0.35">
      <c r="A1277">
        <v>719985</v>
      </c>
      <c r="B1277">
        <v>1954046</v>
      </c>
      <c r="C1277" t="str">
        <f>"MORTON INDEP SCHOOL DISTRICT"</f>
        <v>MORTON INDEP SCHOOL DISTRICT</v>
      </c>
      <c r="D1277" t="s">
        <v>11</v>
      </c>
      <c r="E1277" t="s">
        <v>1048</v>
      </c>
      <c r="F1277" t="s">
        <v>1049</v>
      </c>
      <c r="G1277">
        <v>79346</v>
      </c>
      <c r="H1277">
        <v>2010</v>
      </c>
      <c r="I1277" s="1">
        <v>2633.18</v>
      </c>
      <c r="J1277" s="1">
        <v>2925.75</v>
      </c>
      <c r="K1277" s="1">
        <v>2633.18</v>
      </c>
    </row>
    <row r="1278" spans="1:11" x14ac:dyDescent="0.35">
      <c r="A1278">
        <v>720050</v>
      </c>
      <c r="B1278">
        <v>1954164</v>
      </c>
      <c r="C1278" t="str">
        <f>"MOULTON INDEP SCHOOL DISTRICT"</f>
        <v>MOULTON INDEP SCHOOL DISTRICT</v>
      </c>
      <c r="D1278" t="s">
        <v>11</v>
      </c>
      <c r="E1278" t="s">
        <v>1050</v>
      </c>
      <c r="F1278" t="s">
        <v>1051</v>
      </c>
      <c r="G1278">
        <v>77975</v>
      </c>
      <c r="H1278">
        <v>2010</v>
      </c>
      <c r="I1278" s="1">
        <v>228</v>
      </c>
      <c r="J1278" s="1">
        <v>300</v>
      </c>
      <c r="K1278" s="1">
        <v>228</v>
      </c>
    </row>
    <row r="1279" spans="1:11" x14ac:dyDescent="0.35">
      <c r="A1279">
        <v>720050</v>
      </c>
      <c r="B1279">
        <v>1954199</v>
      </c>
      <c r="C1279" t="str">
        <f>"MOULTON INDEP SCHOOL DISTRICT"</f>
        <v>MOULTON INDEP SCHOOL DISTRICT</v>
      </c>
      <c r="D1279" t="s">
        <v>11</v>
      </c>
      <c r="E1279" t="s">
        <v>1050</v>
      </c>
      <c r="F1279" t="s">
        <v>1051</v>
      </c>
      <c r="G1279">
        <v>77975</v>
      </c>
      <c r="H1279">
        <v>2010</v>
      </c>
      <c r="I1279" s="1">
        <v>1050.51</v>
      </c>
      <c r="J1279" s="1">
        <v>1382.25</v>
      </c>
      <c r="K1279" s="1">
        <v>1050.51</v>
      </c>
    </row>
    <row r="1280" spans="1:11" x14ac:dyDescent="0.35">
      <c r="A1280">
        <v>720050</v>
      </c>
      <c r="B1280">
        <v>1954155</v>
      </c>
      <c r="C1280" t="str">
        <f>"MOULTON INDEP SCHOOL DISTRICT"</f>
        <v>MOULTON INDEP SCHOOL DISTRICT</v>
      </c>
      <c r="D1280" t="s">
        <v>11</v>
      </c>
      <c r="E1280" t="s">
        <v>1050</v>
      </c>
      <c r="F1280" t="s">
        <v>1051</v>
      </c>
      <c r="G1280">
        <v>77975</v>
      </c>
      <c r="H1280">
        <v>2010</v>
      </c>
      <c r="I1280" s="1">
        <v>6840</v>
      </c>
      <c r="J1280" s="1">
        <v>9000</v>
      </c>
      <c r="K1280" s="1">
        <v>6232</v>
      </c>
    </row>
    <row r="1281" spans="1:11" x14ac:dyDescent="0.35">
      <c r="A1281">
        <v>708792</v>
      </c>
      <c r="B1281">
        <v>1974326</v>
      </c>
      <c r="C1281" t="str">
        <f>"MOUNT CALM SCHOOL DISTRICT"</f>
        <v>MOUNT CALM SCHOOL DISTRICT</v>
      </c>
      <c r="D1281" t="s">
        <v>11</v>
      </c>
      <c r="E1281" t="s">
        <v>1052</v>
      </c>
      <c r="F1281" t="s">
        <v>1053</v>
      </c>
      <c r="G1281">
        <v>76673</v>
      </c>
      <c r="H1281">
        <v>2010</v>
      </c>
      <c r="I1281" s="1">
        <v>16800</v>
      </c>
      <c r="J1281" s="1">
        <v>21000</v>
      </c>
      <c r="K1281" s="1">
        <v>16800</v>
      </c>
    </row>
    <row r="1282" spans="1:11" x14ac:dyDescent="0.35">
      <c r="A1282">
        <v>732885</v>
      </c>
      <c r="B1282">
        <v>1981965</v>
      </c>
      <c r="C1282" t="str">
        <f>"MOUNT ENTERPRISE SCHOOL DIST"</f>
        <v>MOUNT ENTERPRISE SCHOOL DIST</v>
      </c>
      <c r="D1282" t="s">
        <v>11</v>
      </c>
      <c r="E1282" t="s">
        <v>1054</v>
      </c>
      <c r="F1282" t="s">
        <v>1055</v>
      </c>
      <c r="G1282">
        <v>75681</v>
      </c>
      <c r="H1282">
        <v>2010</v>
      </c>
      <c r="I1282" s="1">
        <v>2700</v>
      </c>
      <c r="J1282" s="1">
        <v>3600</v>
      </c>
      <c r="K1282" s="1">
        <v>2700</v>
      </c>
    </row>
    <row r="1283" spans="1:11" x14ac:dyDescent="0.35">
      <c r="A1283">
        <v>725843</v>
      </c>
      <c r="B1283">
        <v>1978681</v>
      </c>
      <c r="C1283" t="str">
        <f>"MT PLEASANT I.S.D."</f>
        <v>MT PLEASANT I.S.D.</v>
      </c>
      <c r="D1283" t="s">
        <v>11</v>
      </c>
      <c r="E1283" t="s">
        <v>1056</v>
      </c>
      <c r="F1283" t="s">
        <v>289</v>
      </c>
      <c r="G1283">
        <v>75455</v>
      </c>
      <c r="H1283">
        <v>2010</v>
      </c>
      <c r="I1283" s="1">
        <v>12130.3</v>
      </c>
      <c r="J1283" s="1">
        <v>14105</v>
      </c>
      <c r="K1283" s="1">
        <v>12130.3</v>
      </c>
    </row>
    <row r="1284" spans="1:11" x14ac:dyDescent="0.35">
      <c r="A1284">
        <v>725843</v>
      </c>
      <c r="B1284">
        <v>1973712</v>
      </c>
      <c r="C1284" t="str">
        <f>"MT PLEASANT I.S.D."</f>
        <v>MT PLEASANT I.S.D.</v>
      </c>
      <c r="D1284" t="s">
        <v>11</v>
      </c>
      <c r="E1284" t="s">
        <v>1056</v>
      </c>
      <c r="F1284" t="s">
        <v>289</v>
      </c>
      <c r="G1284">
        <v>75455</v>
      </c>
      <c r="H1284">
        <v>2010</v>
      </c>
      <c r="I1284" s="1">
        <v>2326.85</v>
      </c>
      <c r="J1284" s="1">
        <v>2705.64</v>
      </c>
      <c r="K1284" s="1">
        <v>2326.8000000000002</v>
      </c>
    </row>
    <row r="1285" spans="1:11" x14ac:dyDescent="0.35">
      <c r="A1285">
        <v>747641</v>
      </c>
      <c r="B1285">
        <v>2018615</v>
      </c>
      <c r="C1285" t="str">
        <f>"MT VERNON INDEP SCHOOL DIST"</f>
        <v>MT VERNON INDEP SCHOOL DIST</v>
      </c>
      <c r="D1285" t="s">
        <v>11</v>
      </c>
      <c r="E1285" t="s">
        <v>1057</v>
      </c>
      <c r="F1285" t="s">
        <v>1058</v>
      </c>
      <c r="G1285">
        <v>75457</v>
      </c>
      <c r="H1285">
        <v>2010</v>
      </c>
      <c r="I1285" s="1">
        <v>4012.8</v>
      </c>
      <c r="J1285" s="1">
        <v>5280</v>
      </c>
      <c r="K1285" s="1">
        <v>4012.8</v>
      </c>
    </row>
    <row r="1286" spans="1:11" x14ac:dyDescent="0.35">
      <c r="A1286">
        <v>748489</v>
      </c>
      <c r="B1286">
        <v>2020909</v>
      </c>
      <c r="C1286" t="str">
        <f>"MT VERNON INDEP SCHOOL DIST"</f>
        <v>MT VERNON INDEP SCHOOL DIST</v>
      </c>
      <c r="D1286" t="s">
        <v>11</v>
      </c>
      <c r="E1286" t="s">
        <v>1057</v>
      </c>
      <c r="F1286" t="s">
        <v>1058</v>
      </c>
      <c r="G1286">
        <v>75457</v>
      </c>
      <c r="H1286">
        <v>2010</v>
      </c>
      <c r="I1286" s="1">
        <v>984.78</v>
      </c>
      <c r="J1286" s="1">
        <v>1295.76</v>
      </c>
      <c r="K1286" s="1">
        <v>984.78</v>
      </c>
    </row>
    <row r="1287" spans="1:11" x14ac:dyDescent="0.35">
      <c r="A1287">
        <v>738305</v>
      </c>
      <c r="B1287">
        <v>1994233</v>
      </c>
      <c r="C1287" t="str">
        <f>"MULESHOE INDEP SCHOOL DISTRICT"</f>
        <v>MULESHOE INDEP SCHOOL DISTRICT</v>
      </c>
      <c r="D1287" t="s">
        <v>11</v>
      </c>
      <c r="E1287" t="s">
        <v>1059</v>
      </c>
      <c r="F1287" t="s">
        <v>1060</v>
      </c>
      <c r="G1287">
        <v>79347</v>
      </c>
      <c r="H1287">
        <v>2010</v>
      </c>
      <c r="I1287" s="1">
        <v>10151.459999999999</v>
      </c>
      <c r="J1287" s="1">
        <v>11279.4</v>
      </c>
      <c r="K1287" s="1">
        <v>10151.459999999999</v>
      </c>
    </row>
    <row r="1288" spans="1:11" x14ac:dyDescent="0.35">
      <c r="A1288">
        <v>741459</v>
      </c>
      <c r="B1288">
        <v>2036036</v>
      </c>
      <c r="C1288" t="str">
        <f>"MULLIN INDEP SCHOOL DISTRICT"</f>
        <v>MULLIN INDEP SCHOOL DISTRICT</v>
      </c>
      <c r="D1288" t="s">
        <v>11</v>
      </c>
      <c r="E1288" t="s">
        <v>1061</v>
      </c>
      <c r="F1288" t="s">
        <v>1062</v>
      </c>
      <c r="G1288">
        <v>76864</v>
      </c>
      <c r="H1288">
        <v>2010</v>
      </c>
      <c r="I1288" s="1">
        <v>8725.86</v>
      </c>
      <c r="J1288" s="1">
        <v>9695.4</v>
      </c>
      <c r="K1288" s="1">
        <v>8725.86</v>
      </c>
    </row>
    <row r="1289" spans="1:11" x14ac:dyDescent="0.35">
      <c r="A1289">
        <v>708264</v>
      </c>
      <c r="B1289">
        <v>1937036</v>
      </c>
      <c r="C1289" t="str">
        <f>"MUNDAY INDEP SCHOOL DISTRICT"</f>
        <v>MUNDAY INDEP SCHOOL DISTRICT</v>
      </c>
      <c r="D1289" t="s">
        <v>11</v>
      </c>
      <c r="E1289" t="s">
        <v>1063</v>
      </c>
      <c r="F1289" t="s">
        <v>1064</v>
      </c>
      <c r="G1289">
        <v>76371</v>
      </c>
      <c r="H1289">
        <v>2010</v>
      </c>
      <c r="I1289" s="1">
        <v>6632.64</v>
      </c>
      <c r="J1289" s="1">
        <v>8290.7999999999993</v>
      </c>
      <c r="K1289" s="1">
        <v>6632.64</v>
      </c>
    </row>
    <row r="1290" spans="1:11" x14ac:dyDescent="0.35">
      <c r="A1290">
        <v>709908</v>
      </c>
      <c r="B1290">
        <v>1947031</v>
      </c>
      <c r="C1290" t="str">
        <f>"Madisonville CISD"</f>
        <v>Madisonville CISD</v>
      </c>
      <c r="D1290" t="s">
        <v>11</v>
      </c>
      <c r="E1290" t="s">
        <v>1065</v>
      </c>
      <c r="F1290" t="s">
        <v>1066</v>
      </c>
      <c r="G1290">
        <v>77864</v>
      </c>
      <c r="H1290">
        <v>2010</v>
      </c>
      <c r="I1290" s="1">
        <v>17192.95</v>
      </c>
      <c r="J1290" s="1">
        <v>20714.400000000001</v>
      </c>
      <c r="K1290" s="1">
        <v>17192.95</v>
      </c>
    </row>
    <row r="1291" spans="1:11" x14ac:dyDescent="0.35">
      <c r="A1291">
        <v>709908</v>
      </c>
      <c r="B1291">
        <v>1947056</v>
      </c>
      <c r="C1291" t="str">
        <f>"Madisonville CISD"</f>
        <v>Madisonville CISD</v>
      </c>
      <c r="D1291" t="s">
        <v>11</v>
      </c>
      <c r="E1291" t="s">
        <v>1065</v>
      </c>
      <c r="F1291" t="s">
        <v>1066</v>
      </c>
      <c r="G1291">
        <v>77864</v>
      </c>
      <c r="H1291">
        <v>2010</v>
      </c>
      <c r="I1291" s="1">
        <v>740.36</v>
      </c>
      <c r="J1291" s="1">
        <v>892</v>
      </c>
      <c r="K1291" s="1">
        <v>740.36</v>
      </c>
    </row>
    <row r="1292" spans="1:11" x14ac:dyDescent="0.35">
      <c r="A1292">
        <v>715320</v>
      </c>
      <c r="B1292">
        <v>1967037</v>
      </c>
      <c r="C1292" t="str">
        <f>"Madisonville CISD"</f>
        <v>Madisonville CISD</v>
      </c>
      <c r="D1292" t="s">
        <v>11</v>
      </c>
      <c r="E1292" t="s">
        <v>1065</v>
      </c>
      <c r="F1292" t="s">
        <v>1066</v>
      </c>
      <c r="G1292">
        <v>77864</v>
      </c>
      <c r="H1292">
        <v>2010</v>
      </c>
      <c r="I1292" s="1">
        <v>6951.29</v>
      </c>
      <c r="J1292" s="1">
        <v>8375.0499999999993</v>
      </c>
      <c r="K1292" s="1">
        <v>6951.29</v>
      </c>
    </row>
    <row r="1293" spans="1:11" x14ac:dyDescent="0.35">
      <c r="A1293">
        <v>755024</v>
      </c>
      <c r="B1293">
        <v>2040556</v>
      </c>
      <c r="C1293" t="str">
        <f>"McAllen Indep School District"</f>
        <v>McAllen Indep School District</v>
      </c>
      <c r="D1293" t="s">
        <v>11</v>
      </c>
      <c r="E1293" t="s">
        <v>1067</v>
      </c>
      <c r="F1293" t="s">
        <v>1068</v>
      </c>
      <c r="G1293">
        <v>78501</v>
      </c>
      <c r="H1293">
        <v>2010</v>
      </c>
      <c r="I1293" s="1">
        <v>31156.67</v>
      </c>
      <c r="J1293" s="1">
        <v>38465.03</v>
      </c>
    </row>
    <row r="1294" spans="1:11" x14ac:dyDescent="0.35">
      <c r="A1294">
        <v>758146</v>
      </c>
      <c r="B1294">
        <v>2048616</v>
      </c>
      <c r="C1294" t="str">
        <f>"McAllen Indep School District"</f>
        <v>McAllen Indep School District</v>
      </c>
      <c r="D1294" t="s">
        <v>11</v>
      </c>
      <c r="E1294" t="s">
        <v>1067</v>
      </c>
      <c r="F1294" t="s">
        <v>1068</v>
      </c>
      <c r="G1294">
        <v>78501</v>
      </c>
      <c r="H1294">
        <v>2010</v>
      </c>
      <c r="I1294" s="1">
        <v>44371.8</v>
      </c>
      <c r="J1294" s="1">
        <v>54780</v>
      </c>
      <c r="K1294" s="1">
        <v>44371.8</v>
      </c>
    </row>
    <row r="1295" spans="1:11" x14ac:dyDescent="0.35">
      <c r="A1295">
        <v>740264</v>
      </c>
      <c r="B1295">
        <v>1999086</v>
      </c>
      <c r="C1295" t="str">
        <f>"Mesquite Independent School District"</f>
        <v>Mesquite Independent School District</v>
      </c>
      <c r="D1295" t="s">
        <v>11</v>
      </c>
      <c r="E1295" t="s">
        <v>1069</v>
      </c>
      <c r="F1295" t="s">
        <v>1070</v>
      </c>
      <c r="G1295">
        <v>75149</v>
      </c>
      <c r="H1295">
        <v>2010</v>
      </c>
      <c r="I1295" s="1">
        <v>71315.34</v>
      </c>
      <c r="J1295" s="1">
        <v>91429.92</v>
      </c>
      <c r="K1295" s="1">
        <v>49138.05</v>
      </c>
    </row>
    <row r="1296" spans="1:11" x14ac:dyDescent="0.35">
      <c r="A1296">
        <v>740264</v>
      </c>
      <c r="B1296">
        <v>1999088</v>
      </c>
      <c r="C1296" t="str">
        <f>"Mesquite Independent School District"</f>
        <v>Mesquite Independent School District</v>
      </c>
      <c r="D1296" t="s">
        <v>11</v>
      </c>
      <c r="E1296" t="s">
        <v>1069</v>
      </c>
      <c r="F1296" t="s">
        <v>1070</v>
      </c>
      <c r="G1296">
        <v>75149</v>
      </c>
      <c r="H1296">
        <v>2010</v>
      </c>
      <c r="I1296" s="1">
        <v>28587</v>
      </c>
      <c r="J1296" s="1">
        <v>36650</v>
      </c>
      <c r="K1296" s="1">
        <v>17331.78</v>
      </c>
    </row>
    <row r="1297" spans="1:11" x14ac:dyDescent="0.35">
      <c r="A1297">
        <v>740264</v>
      </c>
      <c r="B1297">
        <v>1999085</v>
      </c>
      <c r="C1297" t="str">
        <f>"Mesquite Independent School District"</f>
        <v>Mesquite Independent School District</v>
      </c>
      <c r="D1297" t="s">
        <v>11</v>
      </c>
      <c r="E1297" t="s">
        <v>1069</v>
      </c>
      <c r="F1297" t="s">
        <v>1070</v>
      </c>
      <c r="G1297">
        <v>75149</v>
      </c>
      <c r="H1297">
        <v>2010</v>
      </c>
      <c r="I1297" s="1">
        <v>101653.34</v>
      </c>
      <c r="J1297" s="1">
        <v>130324.8</v>
      </c>
      <c r="K1297" s="1">
        <v>42906.16</v>
      </c>
    </row>
    <row r="1298" spans="1:11" x14ac:dyDescent="0.35">
      <c r="A1298">
        <v>762808</v>
      </c>
      <c r="B1298">
        <v>2062727</v>
      </c>
      <c r="C1298" t="str">
        <f>"NACOGDOCHES INDEP SCH DISTRICT"</f>
        <v>NACOGDOCHES INDEP SCH DISTRICT</v>
      </c>
      <c r="D1298" t="s">
        <v>11</v>
      </c>
      <c r="E1298" t="s">
        <v>1071</v>
      </c>
      <c r="F1298" t="s">
        <v>279</v>
      </c>
      <c r="G1298">
        <v>75961</v>
      </c>
      <c r="H1298">
        <v>2010</v>
      </c>
      <c r="I1298" s="1">
        <v>68886.720000000001</v>
      </c>
      <c r="J1298" s="1">
        <v>82008</v>
      </c>
      <c r="K1298" s="1">
        <v>48810.04</v>
      </c>
    </row>
    <row r="1299" spans="1:11" x14ac:dyDescent="0.35">
      <c r="A1299">
        <v>762808</v>
      </c>
      <c r="B1299">
        <v>2072627</v>
      </c>
      <c r="C1299" t="str">
        <f>"NACOGDOCHES INDEP SCH DISTRICT"</f>
        <v>NACOGDOCHES INDEP SCH DISTRICT</v>
      </c>
      <c r="D1299" t="s">
        <v>11</v>
      </c>
      <c r="E1299" t="s">
        <v>1071</v>
      </c>
      <c r="F1299" t="s">
        <v>279</v>
      </c>
      <c r="G1299">
        <v>75961</v>
      </c>
      <c r="H1299">
        <v>2010</v>
      </c>
      <c r="I1299" s="1">
        <v>31520.16</v>
      </c>
      <c r="J1299" s="1">
        <v>37524</v>
      </c>
      <c r="K1299" s="1">
        <v>31479.82</v>
      </c>
    </row>
    <row r="1300" spans="1:11" x14ac:dyDescent="0.35">
      <c r="A1300">
        <v>762808</v>
      </c>
      <c r="B1300">
        <v>2072718</v>
      </c>
      <c r="C1300" t="str">
        <f>"NACOGDOCHES INDEP SCH DISTRICT"</f>
        <v>NACOGDOCHES INDEP SCH DISTRICT</v>
      </c>
      <c r="D1300" t="s">
        <v>11</v>
      </c>
      <c r="E1300" t="s">
        <v>1071</v>
      </c>
      <c r="F1300" t="s">
        <v>279</v>
      </c>
      <c r="G1300">
        <v>75961</v>
      </c>
      <c r="H1300">
        <v>2010</v>
      </c>
      <c r="I1300" s="1">
        <v>13649.93</v>
      </c>
      <c r="J1300" s="1">
        <v>16249.92</v>
      </c>
      <c r="K1300" s="1">
        <v>13649.93</v>
      </c>
    </row>
    <row r="1301" spans="1:11" x14ac:dyDescent="0.35">
      <c r="A1301">
        <v>762808</v>
      </c>
      <c r="B1301">
        <v>2062705</v>
      </c>
      <c r="C1301" t="str">
        <f>"NACOGDOCHES INDEP SCH DISTRICT"</f>
        <v>NACOGDOCHES INDEP SCH DISTRICT</v>
      </c>
      <c r="D1301" t="s">
        <v>11</v>
      </c>
      <c r="E1301" t="s">
        <v>1071</v>
      </c>
      <c r="F1301" t="s">
        <v>279</v>
      </c>
      <c r="G1301">
        <v>75961</v>
      </c>
      <c r="H1301">
        <v>2010</v>
      </c>
      <c r="I1301" s="1">
        <v>10032.719999999999</v>
      </c>
      <c r="J1301" s="1">
        <v>11943.72</v>
      </c>
      <c r="K1301" s="1">
        <v>10032.719999999999</v>
      </c>
    </row>
    <row r="1302" spans="1:11" x14ac:dyDescent="0.35">
      <c r="A1302">
        <v>730318</v>
      </c>
      <c r="B1302">
        <v>1997475</v>
      </c>
      <c r="C1302" t="str">
        <f>"NATALIA INDEP SCHOOL DISTRICT"</f>
        <v>NATALIA INDEP SCHOOL DISTRICT</v>
      </c>
      <c r="D1302" t="s">
        <v>11</v>
      </c>
      <c r="E1302" t="s">
        <v>1072</v>
      </c>
      <c r="F1302" t="s">
        <v>1073</v>
      </c>
      <c r="G1302">
        <v>78059</v>
      </c>
      <c r="H1302">
        <v>2010</v>
      </c>
      <c r="I1302" s="1">
        <v>18792</v>
      </c>
      <c r="J1302" s="1">
        <v>21600</v>
      </c>
      <c r="K1302" s="1">
        <v>18792</v>
      </c>
    </row>
    <row r="1303" spans="1:11" x14ac:dyDescent="0.35">
      <c r="A1303">
        <v>730318</v>
      </c>
      <c r="B1303">
        <v>1997497</v>
      </c>
      <c r="C1303" t="str">
        <f>"NATALIA INDEP SCHOOL DISTRICT"</f>
        <v>NATALIA INDEP SCHOOL DISTRICT</v>
      </c>
      <c r="D1303" t="s">
        <v>11</v>
      </c>
      <c r="E1303" t="s">
        <v>1072</v>
      </c>
      <c r="F1303" t="s">
        <v>1073</v>
      </c>
      <c r="G1303">
        <v>78059</v>
      </c>
      <c r="H1303">
        <v>2010</v>
      </c>
      <c r="I1303" s="1">
        <v>2415.71</v>
      </c>
      <c r="J1303" s="1">
        <v>2776.68</v>
      </c>
    </row>
    <row r="1304" spans="1:11" x14ac:dyDescent="0.35">
      <c r="A1304">
        <v>746285</v>
      </c>
      <c r="B1304">
        <v>2014570</v>
      </c>
      <c r="C1304" t="str">
        <f>"NAVARRO INDEP SCHOOL DISTRICT"</f>
        <v>NAVARRO INDEP SCHOOL DISTRICT</v>
      </c>
      <c r="D1304" t="s">
        <v>11</v>
      </c>
      <c r="E1304" t="s">
        <v>1074</v>
      </c>
      <c r="F1304" t="s">
        <v>1075</v>
      </c>
      <c r="G1304">
        <v>78155</v>
      </c>
      <c r="H1304">
        <v>2010</v>
      </c>
      <c r="I1304" s="1">
        <v>17524.080000000002</v>
      </c>
      <c r="J1304" s="1">
        <v>30744</v>
      </c>
      <c r="K1304" s="1">
        <v>14890.68</v>
      </c>
    </row>
    <row r="1305" spans="1:11" x14ac:dyDescent="0.35">
      <c r="A1305">
        <v>736441</v>
      </c>
      <c r="B1305">
        <v>1991316</v>
      </c>
      <c r="C1305" t="str">
        <f>"NAVASOTA INDEP SCHOOL DISTRICT"</f>
        <v>NAVASOTA INDEP SCHOOL DISTRICT</v>
      </c>
      <c r="D1305" t="s">
        <v>11</v>
      </c>
      <c r="E1305" t="s">
        <v>1076</v>
      </c>
      <c r="F1305" t="s">
        <v>1077</v>
      </c>
      <c r="G1305">
        <v>77868</v>
      </c>
      <c r="H1305">
        <v>2010</v>
      </c>
      <c r="I1305" s="1">
        <v>25543.56</v>
      </c>
      <c r="J1305" s="1">
        <v>30409</v>
      </c>
      <c r="K1305" s="1">
        <v>25543.56</v>
      </c>
    </row>
    <row r="1306" spans="1:11" x14ac:dyDescent="0.35">
      <c r="A1306">
        <v>736441</v>
      </c>
      <c r="B1306">
        <v>1991289</v>
      </c>
      <c r="C1306" t="str">
        <f>"NAVASOTA INDEP SCHOOL DISTRICT"</f>
        <v>NAVASOTA INDEP SCHOOL DISTRICT</v>
      </c>
      <c r="D1306" t="s">
        <v>11</v>
      </c>
      <c r="E1306" t="s">
        <v>1076</v>
      </c>
      <c r="F1306" t="s">
        <v>1077</v>
      </c>
      <c r="G1306">
        <v>77868</v>
      </c>
      <c r="H1306">
        <v>2010</v>
      </c>
      <c r="I1306" s="1">
        <v>7055.03</v>
      </c>
      <c r="J1306" s="1">
        <v>8398.85</v>
      </c>
      <c r="K1306" s="1">
        <v>7035.04</v>
      </c>
    </row>
    <row r="1307" spans="1:11" x14ac:dyDescent="0.35">
      <c r="A1307">
        <v>736441</v>
      </c>
      <c r="B1307">
        <v>1991299</v>
      </c>
      <c r="C1307" t="str">
        <f>"NAVASOTA INDEP SCHOOL DISTRICT"</f>
        <v>NAVASOTA INDEP SCHOOL DISTRICT</v>
      </c>
      <c r="D1307" t="s">
        <v>11</v>
      </c>
      <c r="E1307" t="s">
        <v>1076</v>
      </c>
      <c r="F1307" t="s">
        <v>1077</v>
      </c>
      <c r="G1307">
        <v>77868</v>
      </c>
      <c r="H1307">
        <v>2010</v>
      </c>
      <c r="I1307" s="1">
        <v>15649.2</v>
      </c>
      <c r="J1307" s="1">
        <v>18630</v>
      </c>
      <c r="K1307" s="1">
        <v>15649.2</v>
      </c>
    </row>
    <row r="1308" spans="1:11" x14ac:dyDescent="0.35">
      <c r="A1308">
        <v>736441</v>
      </c>
      <c r="B1308">
        <v>1991182</v>
      </c>
      <c r="C1308" t="str">
        <f>"NAVASOTA INDEP SCHOOL DISTRICT"</f>
        <v>NAVASOTA INDEP SCHOOL DISTRICT</v>
      </c>
      <c r="D1308" t="s">
        <v>11</v>
      </c>
      <c r="E1308" t="s">
        <v>1076</v>
      </c>
      <c r="F1308" t="s">
        <v>1077</v>
      </c>
      <c r="G1308">
        <v>77868</v>
      </c>
      <c r="H1308">
        <v>2010</v>
      </c>
      <c r="I1308" s="1">
        <v>54432</v>
      </c>
      <c r="J1308" s="1">
        <v>64800</v>
      </c>
      <c r="K1308" s="1">
        <v>50628.2</v>
      </c>
    </row>
    <row r="1309" spans="1:11" x14ac:dyDescent="0.35">
      <c r="A1309">
        <v>752481</v>
      </c>
      <c r="B1309">
        <v>2033631</v>
      </c>
      <c r="C1309" t="str">
        <f>"NECHES INDEP SCHOOL DISTRICT"</f>
        <v>NECHES INDEP SCHOOL DISTRICT</v>
      </c>
      <c r="D1309" t="s">
        <v>11</v>
      </c>
      <c r="E1309" t="s">
        <v>1078</v>
      </c>
      <c r="F1309" t="s">
        <v>1079</v>
      </c>
      <c r="G1309">
        <v>75779</v>
      </c>
      <c r="H1309">
        <v>2010</v>
      </c>
      <c r="I1309" s="1">
        <v>498.4</v>
      </c>
      <c r="J1309" s="1">
        <v>712</v>
      </c>
      <c r="K1309" s="1">
        <v>498.4</v>
      </c>
    </row>
    <row r="1310" spans="1:11" x14ac:dyDescent="0.35">
      <c r="A1310">
        <v>752481</v>
      </c>
      <c r="B1310">
        <v>2033731</v>
      </c>
      <c r="C1310" t="str">
        <f>"NECHES INDEP SCHOOL DISTRICT"</f>
        <v>NECHES INDEP SCHOOL DISTRICT</v>
      </c>
      <c r="D1310" t="s">
        <v>11</v>
      </c>
      <c r="E1310" t="s">
        <v>1078</v>
      </c>
      <c r="F1310" t="s">
        <v>1079</v>
      </c>
      <c r="G1310">
        <v>75779</v>
      </c>
      <c r="H1310">
        <v>2010</v>
      </c>
      <c r="I1310" s="1">
        <v>897.75</v>
      </c>
      <c r="J1310" s="1">
        <v>1282.5</v>
      </c>
      <c r="K1310" s="1">
        <v>897.75</v>
      </c>
    </row>
    <row r="1311" spans="1:11" x14ac:dyDescent="0.35">
      <c r="A1311">
        <v>724887</v>
      </c>
      <c r="B1311">
        <v>1963218</v>
      </c>
      <c r="C1311" t="str">
        <f>"NEDERLAND ISD"</f>
        <v>NEDERLAND ISD</v>
      </c>
      <c r="D1311" t="s">
        <v>11</v>
      </c>
      <c r="E1311" t="s">
        <v>1080</v>
      </c>
      <c r="F1311" t="s">
        <v>1081</v>
      </c>
      <c r="G1311">
        <v>77627</v>
      </c>
      <c r="H1311">
        <v>2010</v>
      </c>
      <c r="I1311" s="1">
        <v>19488</v>
      </c>
      <c r="J1311" s="1">
        <v>34800</v>
      </c>
      <c r="K1311" s="1">
        <v>19488</v>
      </c>
    </row>
    <row r="1312" spans="1:11" x14ac:dyDescent="0.35">
      <c r="A1312">
        <v>735608</v>
      </c>
      <c r="B1312">
        <v>1988009</v>
      </c>
      <c r="C1312" t="str">
        <f>"NEDERLAND ISD"</f>
        <v>NEDERLAND ISD</v>
      </c>
      <c r="D1312" t="s">
        <v>11</v>
      </c>
      <c r="E1312" t="s">
        <v>1080</v>
      </c>
      <c r="F1312" t="s">
        <v>1081</v>
      </c>
      <c r="G1312">
        <v>77627</v>
      </c>
      <c r="H1312">
        <v>2010</v>
      </c>
      <c r="I1312" s="1">
        <v>5140.8</v>
      </c>
      <c r="J1312" s="1">
        <v>9180</v>
      </c>
      <c r="K1312" s="1">
        <v>5140.8</v>
      </c>
    </row>
    <row r="1313" spans="1:11" x14ac:dyDescent="0.35">
      <c r="A1313">
        <v>706845</v>
      </c>
      <c r="B1313">
        <v>1937211</v>
      </c>
      <c r="C1313" t="str">
        <f>"NEEDVILLE INDEP SCHOOL DIST"</f>
        <v>NEEDVILLE INDEP SCHOOL DIST</v>
      </c>
      <c r="D1313" t="s">
        <v>11</v>
      </c>
      <c r="E1313" t="s">
        <v>1082</v>
      </c>
      <c r="F1313" t="s">
        <v>1083</v>
      </c>
      <c r="G1313">
        <v>77461</v>
      </c>
      <c r="H1313">
        <v>2010</v>
      </c>
      <c r="I1313" s="1">
        <v>17377.919999999998</v>
      </c>
      <c r="J1313" s="1">
        <v>31032</v>
      </c>
      <c r="K1313" s="1">
        <v>17377.919999999998</v>
      </c>
    </row>
    <row r="1314" spans="1:11" x14ac:dyDescent="0.35">
      <c r="A1314">
        <v>706845</v>
      </c>
      <c r="B1314">
        <v>1937207</v>
      </c>
      <c r="C1314" t="str">
        <f>"NEEDVILLE INDEP SCHOOL DIST"</f>
        <v>NEEDVILLE INDEP SCHOOL DIST</v>
      </c>
      <c r="D1314" t="s">
        <v>11</v>
      </c>
      <c r="E1314" t="s">
        <v>1082</v>
      </c>
      <c r="F1314" t="s">
        <v>1083</v>
      </c>
      <c r="G1314">
        <v>77461</v>
      </c>
      <c r="H1314">
        <v>2010</v>
      </c>
      <c r="I1314" s="1">
        <v>3166.8</v>
      </c>
      <c r="J1314" s="1">
        <v>5655</v>
      </c>
      <c r="K1314" s="1">
        <v>3166.8</v>
      </c>
    </row>
    <row r="1315" spans="1:11" x14ac:dyDescent="0.35">
      <c r="A1315">
        <v>765420</v>
      </c>
      <c r="B1315">
        <v>2068669</v>
      </c>
      <c r="C1315" t="str">
        <f>"NEW BRAUNFELS INDEP SCH DIST"</f>
        <v>NEW BRAUNFELS INDEP SCH DIST</v>
      </c>
      <c r="D1315" t="s">
        <v>11</v>
      </c>
      <c r="E1315" t="s">
        <v>1084</v>
      </c>
      <c r="F1315" t="s">
        <v>338</v>
      </c>
      <c r="G1315">
        <v>78130</v>
      </c>
      <c r="H1315">
        <v>2010</v>
      </c>
      <c r="I1315" s="1">
        <v>22302</v>
      </c>
      <c r="J1315" s="1">
        <v>37800</v>
      </c>
      <c r="K1315" s="1">
        <v>22302</v>
      </c>
    </row>
    <row r="1316" spans="1:11" x14ac:dyDescent="0.35">
      <c r="A1316">
        <v>765070</v>
      </c>
      <c r="B1316">
        <v>2067656</v>
      </c>
      <c r="C1316" t="str">
        <f>"NEW BRAUNFELS INDEP SCH DIST"</f>
        <v>NEW BRAUNFELS INDEP SCH DIST</v>
      </c>
      <c r="D1316" t="s">
        <v>11</v>
      </c>
      <c r="E1316" t="s">
        <v>1084</v>
      </c>
      <c r="F1316" t="s">
        <v>338</v>
      </c>
      <c r="G1316">
        <v>78130</v>
      </c>
      <c r="H1316">
        <v>2010</v>
      </c>
      <c r="I1316" s="1">
        <v>8807.52</v>
      </c>
      <c r="J1316" s="1">
        <v>14928</v>
      </c>
    </row>
    <row r="1317" spans="1:11" x14ac:dyDescent="0.35">
      <c r="A1317">
        <v>750590</v>
      </c>
      <c r="B1317">
        <v>2030386</v>
      </c>
      <c r="C1317" t="str">
        <f>"NEW CANEY INDEP SCHOOL DIST"</f>
        <v>NEW CANEY INDEP SCHOOL DIST</v>
      </c>
      <c r="D1317" t="s">
        <v>11</v>
      </c>
      <c r="E1317" t="s">
        <v>1085</v>
      </c>
      <c r="F1317" t="s">
        <v>1086</v>
      </c>
      <c r="G1317">
        <v>77357</v>
      </c>
      <c r="H1317">
        <v>2010</v>
      </c>
      <c r="I1317" s="1">
        <v>5712</v>
      </c>
      <c r="J1317" s="1">
        <v>7140</v>
      </c>
      <c r="K1317" s="1">
        <v>5439.46</v>
      </c>
    </row>
    <row r="1318" spans="1:11" x14ac:dyDescent="0.35">
      <c r="A1318">
        <v>750590</v>
      </c>
      <c r="B1318">
        <v>2030613</v>
      </c>
      <c r="C1318" t="str">
        <f>"NEW CANEY INDEP SCHOOL DIST"</f>
        <v>NEW CANEY INDEP SCHOOL DIST</v>
      </c>
      <c r="D1318" t="s">
        <v>11</v>
      </c>
      <c r="E1318" t="s">
        <v>1085</v>
      </c>
      <c r="F1318" t="s">
        <v>1086</v>
      </c>
      <c r="G1318">
        <v>77357</v>
      </c>
      <c r="H1318">
        <v>2010</v>
      </c>
      <c r="I1318" s="1">
        <v>11970.05</v>
      </c>
      <c r="J1318" s="1">
        <v>14962.56</v>
      </c>
      <c r="K1318" s="1">
        <v>11970.05</v>
      </c>
    </row>
    <row r="1319" spans="1:11" x14ac:dyDescent="0.35">
      <c r="A1319">
        <v>750590</v>
      </c>
      <c r="B1319">
        <v>2030866</v>
      </c>
      <c r="C1319" t="str">
        <f>"NEW CANEY INDEP SCHOOL DIST"</f>
        <v>NEW CANEY INDEP SCHOOL DIST</v>
      </c>
      <c r="D1319" t="s">
        <v>11</v>
      </c>
      <c r="E1319" t="s">
        <v>1085</v>
      </c>
      <c r="F1319" t="s">
        <v>1086</v>
      </c>
      <c r="G1319">
        <v>77357</v>
      </c>
      <c r="H1319">
        <v>2010</v>
      </c>
      <c r="I1319" s="1">
        <v>4644.38</v>
      </c>
      <c r="J1319" s="1">
        <v>5805.48</v>
      </c>
      <c r="K1319" s="1">
        <v>4644.38</v>
      </c>
    </row>
    <row r="1320" spans="1:11" x14ac:dyDescent="0.35">
      <c r="A1320">
        <v>750590</v>
      </c>
      <c r="B1320">
        <v>2030686</v>
      </c>
      <c r="C1320" t="str">
        <f>"NEW CANEY INDEP SCHOOL DIST"</f>
        <v>NEW CANEY INDEP SCHOOL DIST</v>
      </c>
      <c r="D1320" t="s">
        <v>11</v>
      </c>
      <c r="E1320" t="s">
        <v>1085</v>
      </c>
      <c r="F1320" t="s">
        <v>1086</v>
      </c>
      <c r="G1320">
        <v>77357</v>
      </c>
      <c r="H1320">
        <v>2010</v>
      </c>
      <c r="I1320" s="1">
        <v>6700.03</v>
      </c>
      <c r="J1320" s="1">
        <v>8375.0400000000009</v>
      </c>
      <c r="K1320" s="1">
        <v>6700.03</v>
      </c>
    </row>
    <row r="1321" spans="1:11" x14ac:dyDescent="0.35">
      <c r="A1321">
        <v>720847</v>
      </c>
      <c r="B1321">
        <v>1955854</v>
      </c>
      <c r="C1321" t="str">
        <f>"NEW DEAL INDEP SCHOOL DISTRICT"</f>
        <v>NEW DEAL INDEP SCHOOL DISTRICT</v>
      </c>
      <c r="D1321" t="s">
        <v>11</v>
      </c>
      <c r="E1321" t="s">
        <v>1087</v>
      </c>
      <c r="F1321" t="s">
        <v>1088</v>
      </c>
      <c r="G1321">
        <v>79350</v>
      </c>
      <c r="H1321">
        <v>2010</v>
      </c>
      <c r="I1321" s="1">
        <v>1617</v>
      </c>
      <c r="J1321" s="1">
        <v>2100</v>
      </c>
    </row>
    <row r="1322" spans="1:11" x14ac:dyDescent="0.35">
      <c r="A1322">
        <v>720847</v>
      </c>
      <c r="B1322">
        <v>1955849</v>
      </c>
      <c r="C1322" t="str">
        <f>"NEW DEAL INDEP SCHOOL DISTRICT"</f>
        <v>NEW DEAL INDEP SCHOOL DISTRICT</v>
      </c>
      <c r="D1322" t="s">
        <v>11</v>
      </c>
      <c r="E1322" t="s">
        <v>1087</v>
      </c>
      <c r="F1322" t="s">
        <v>1088</v>
      </c>
      <c r="G1322">
        <v>79350</v>
      </c>
      <c r="H1322">
        <v>2010</v>
      </c>
      <c r="I1322" s="1">
        <v>5775</v>
      </c>
      <c r="J1322" s="1">
        <v>7500</v>
      </c>
      <c r="K1322" s="1">
        <v>5775</v>
      </c>
    </row>
    <row r="1323" spans="1:11" x14ac:dyDescent="0.35">
      <c r="A1323">
        <v>765116</v>
      </c>
      <c r="B1323">
        <v>2067565</v>
      </c>
      <c r="C1323" t="str">
        <f>"NEW DIANA INDEP SCHOOL DIST"</f>
        <v>NEW DIANA INDEP SCHOOL DIST</v>
      </c>
      <c r="D1323" t="s">
        <v>11</v>
      </c>
      <c r="E1323" t="s">
        <v>1089</v>
      </c>
      <c r="F1323" t="s">
        <v>1090</v>
      </c>
      <c r="G1323">
        <v>75640</v>
      </c>
      <c r="H1323">
        <v>2010</v>
      </c>
      <c r="I1323" s="1">
        <v>1860</v>
      </c>
      <c r="J1323" s="1">
        <v>3000</v>
      </c>
      <c r="K1323" s="1">
        <v>459.84</v>
      </c>
    </row>
    <row r="1324" spans="1:11" x14ac:dyDescent="0.35">
      <c r="A1324">
        <v>757537</v>
      </c>
      <c r="B1324">
        <v>2051612</v>
      </c>
      <c r="C1324" t="str">
        <f>"NEW FRONTIERS DISTRICT"</f>
        <v>NEW FRONTIERS DISTRICT</v>
      </c>
      <c r="D1324" t="s">
        <v>11</v>
      </c>
      <c r="E1324" t="s">
        <v>1091</v>
      </c>
      <c r="F1324" t="s">
        <v>25</v>
      </c>
      <c r="G1324">
        <v>78214</v>
      </c>
      <c r="H1324">
        <v>2010</v>
      </c>
      <c r="I1324" s="1">
        <v>37422</v>
      </c>
      <c r="J1324" s="1">
        <v>41580</v>
      </c>
      <c r="K1324" s="1">
        <v>25369.65</v>
      </c>
    </row>
    <row r="1325" spans="1:11" x14ac:dyDescent="0.35">
      <c r="A1325">
        <v>757537</v>
      </c>
      <c r="B1325">
        <v>2057585</v>
      </c>
      <c r="C1325" t="str">
        <f>"NEW FRONTIERS DISTRICT"</f>
        <v>NEW FRONTIERS DISTRICT</v>
      </c>
      <c r="D1325" t="s">
        <v>11</v>
      </c>
      <c r="E1325" t="s">
        <v>1091</v>
      </c>
      <c r="F1325" t="s">
        <v>25</v>
      </c>
      <c r="G1325">
        <v>78214</v>
      </c>
      <c r="H1325">
        <v>2010</v>
      </c>
      <c r="I1325" s="1">
        <v>25920</v>
      </c>
      <c r="J1325" s="1">
        <v>28800</v>
      </c>
      <c r="K1325" s="1">
        <v>20408.59</v>
      </c>
    </row>
    <row r="1326" spans="1:11" x14ac:dyDescent="0.35">
      <c r="A1326">
        <v>757537</v>
      </c>
      <c r="B1326">
        <v>2051621</v>
      </c>
      <c r="C1326" t="str">
        <f>"NEW FRONTIERS DISTRICT"</f>
        <v>NEW FRONTIERS DISTRICT</v>
      </c>
      <c r="D1326" t="s">
        <v>11</v>
      </c>
      <c r="E1326" t="s">
        <v>1091</v>
      </c>
      <c r="F1326" t="s">
        <v>25</v>
      </c>
      <c r="G1326">
        <v>78214</v>
      </c>
      <c r="H1326">
        <v>2010</v>
      </c>
      <c r="I1326" s="1">
        <v>2381.75</v>
      </c>
      <c r="J1326" s="1">
        <v>2646.39</v>
      </c>
      <c r="K1326" s="1">
        <v>2381.75</v>
      </c>
    </row>
    <row r="1327" spans="1:11" x14ac:dyDescent="0.35">
      <c r="A1327">
        <v>757537</v>
      </c>
      <c r="B1327">
        <v>2056224</v>
      </c>
      <c r="C1327" t="str">
        <f>"NEW FRONTIERS DISTRICT"</f>
        <v>NEW FRONTIERS DISTRICT</v>
      </c>
      <c r="D1327" t="s">
        <v>11</v>
      </c>
      <c r="E1327" t="s">
        <v>1091</v>
      </c>
      <c r="F1327" t="s">
        <v>25</v>
      </c>
      <c r="G1327">
        <v>78214</v>
      </c>
      <c r="H1327">
        <v>2010</v>
      </c>
      <c r="I1327" s="1">
        <v>11448</v>
      </c>
      <c r="J1327" s="1">
        <v>12720</v>
      </c>
      <c r="K1327" s="1">
        <v>11448</v>
      </c>
    </row>
    <row r="1328" spans="1:11" x14ac:dyDescent="0.35">
      <c r="A1328">
        <v>757537</v>
      </c>
      <c r="B1328">
        <v>2057562</v>
      </c>
      <c r="C1328" t="str">
        <f>"NEW FRONTIERS DISTRICT"</f>
        <v>NEW FRONTIERS DISTRICT</v>
      </c>
      <c r="D1328" t="s">
        <v>11</v>
      </c>
      <c r="E1328" t="s">
        <v>1091</v>
      </c>
      <c r="F1328" t="s">
        <v>25</v>
      </c>
      <c r="G1328">
        <v>78214</v>
      </c>
      <c r="H1328">
        <v>2010</v>
      </c>
      <c r="I1328" s="1">
        <v>19440</v>
      </c>
      <c r="J1328" s="1">
        <v>21600</v>
      </c>
      <c r="K1328" s="1">
        <v>19440</v>
      </c>
    </row>
    <row r="1329" spans="1:11" x14ac:dyDescent="0.35">
      <c r="A1329">
        <v>735804</v>
      </c>
      <c r="B1329">
        <v>1988753</v>
      </c>
      <c r="C1329" t="str">
        <f>"NEW HOME INDEP SCHOOL DISTRICT"</f>
        <v>NEW HOME INDEP SCHOOL DISTRICT</v>
      </c>
      <c r="D1329" t="s">
        <v>11</v>
      </c>
      <c r="E1329" t="s">
        <v>1092</v>
      </c>
      <c r="F1329" t="s">
        <v>1093</v>
      </c>
      <c r="G1329">
        <v>79383</v>
      </c>
      <c r="H1329">
        <v>2010</v>
      </c>
      <c r="I1329" s="1">
        <v>5520</v>
      </c>
      <c r="J1329" s="1">
        <v>6900</v>
      </c>
      <c r="K1329" s="1">
        <v>5280</v>
      </c>
    </row>
    <row r="1330" spans="1:11" x14ac:dyDescent="0.35">
      <c r="A1330">
        <v>742007</v>
      </c>
      <c r="B1330">
        <v>2003356</v>
      </c>
      <c r="C1330" t="str">
        <f>"NEW SUMMERFIELD INDEP SCH DIST"</f>
        <v>NEW SUMMERFIELD INDEP SCH DIST</v>
      </c>
      <c r="D1330" t="s">
        <v>11</v>
      </c>
      <c r="E1330" t="s">
        <v>1094</v>
      </c>
      <c r="F1330" t="s">
        <v>1095</v>
      </c>
      <c r="G1330">
        <v>75780</v>
      </c>
      <c r="H1330">
        <v>2010</v>
      </c>
      <c r="I1330" s="1">
        <v>1204.8800000000001</v>
      </c>
      <c r="J1330" s="1">
        <v>1338.75</v>
      </c>
      <c r="K1330" s="1">
        <v>1204.8800000000001</v>
      </c>
    </row>
    <row r="1331" spans="1:11" x14ac:dyDescent="0.35">
      <c r="A1331">
        <v>742007</v>
      </c>
      <c r="B1331">
        <v>2003339</v>
      </c>
      <c r="C1331" t="str">
        <f>"NEW SUMMERFIELD INDEP SCH DIST"</f>
        <v>NEW SUMMERFIELD INDEP SCH DIST</v>
      </c>
      <c r="D1331" t="s">
        <v>11</v>
      </c>
      <c r="E1331" t="s">
        <v>1094</v>
      </c>
      <c r="F1331" t="s">
        <v>1095</v>
      </c>
      <c r="G1331">
        <v>75780</v>
      </c>
      <c r="H1331">
        <v>2010</v>
      </c>
      <c r="I1331" s="1">
        <v>1461.92</v>
      </c>
      <c r="J1331" s="1">
        <v>1624.35</v>
      </c>
      <c r="K1331" s="1">
        <v>1461.92</v>
      </c>
    </row>
    <row r="1332" spans="1:11" x14ac:dyDescent="0.35">
      <c r="A1332">
        <v>718423</v>
      </c>
      <c r="B1332">
        <v>1977418</v>
      </c>
      <c r="C1332" t="str">
        <f>"NEW WAVERLY SCHOOL DISTRICT"</f>
        <v>NEW WAVERLY SCHOOL DISTRICT</v>
      </c>
      <c r="D1332" t="s">
        <v>11</v>
      </c>
      <c r="E1332" t="s">
        <v>1096</v>
      </c>
      <c r="F1332" t="s">
        <v>1097</v>
      </c>
      <c r="G1332">
        <v>77358</v>
      </c>
      <c r="H1332">
        <v>2010</v>
      </c>
      <c r="I1332" s="1">
        <v>13972.5</v>
      </c>
      <c r="J1332" s="1">
        <v>18630</v>
      </c>
      <c r="K1332" s="1">
        <v>4657.5200000000004</v>
      </c>
    </row>
    <row r="1333" spans="1:11" x14ac:dyDescent="0.35">
      <c r="A1333">
        <v>718423</v>
      </c>
      <c r="B1333">
        <v>1951707</v>
      </c>
      <c r="C1333" t="str">
        <f>"NEW WAVERLY SCHOOL DISTRICT"</f>
        <v>NEW WAVERLY SCHOOL DISTRICT</v>
      </c>
      <c r="D1333" t="s">
        <v>11</v>
      </c>
      <c r="E1333" t="s">
        <v>1096</v>
      </c>
      <c r="F1333" t="s">
        <v>1097</v>
      </c>
      <c r="G1333">
        <v>77358</v>
      </c>
      <c r="H1333">
        <v>2010</v>
      </c>
      <c r="I1333" s="1">
        <v>24750</v>
      </c>
      <c r="J1333" s="1">
        <v>33000</v>
      </c>
      <c r="K1333" s="1">
        <v>20900</v>
      </c>
    </row>
    <row r="1334" spans="1:11" x14ac:dyDescent="0.35">
      <c r="A1334">
        <v>728206</v>
      </c>
      <c r="B1334">
        <v>1970358</v>
      </c>
      <c r="C1334" t="str">
        <f>"NEWCASTLE INDEP SCHOOL DIST"</f>
        <v>NEWCASTLE INDEP SCHOOL DIST</v>
      </c>
      <c r="D1334" t="s">
        <v>11</v>
      </c>
      <c r="E1334" t="s">
        <v>1098</v>
      </c>
      <c r="F1334" t="s">
        <v>1099</v>
      </c>
      <c r="G1334">
        <v>76372</v>
      </c>
      <c r="H1334">
        <v>2010</v>
      </c>
      <c r="I1334" s="1">
        <v>4263.84</v>
      </c>
      <c r="J1334" s="1">
        <v>5329.8</v>
      </c>
      <c r="K1334" s="1">
        <v>4263.84</v>
      </c>
    </row>
    <row r="1335" spans="1:11" x14ac:dyDescent="0.35">
      <c r="A1335">
        <v>728206</v>
      </c>
      <c r="B1335">
        <v>1970417</v>
      </c>
      <c r="C1335" t="str">
        <f>"NEWCASTLE INDEP SCHOOL DIST"</f>
        <v>NEWCASTLE INDEP SCHOOL DIST</v>
      </c>
      <c r="D1335" t="s">
        <v>11</v>
      </c>
      <c r="E1335" t="s">
        <v>1098</v>
      </c>
      <c r="F1335" t="s">
        <v>1099</v>
      </c>
      <c r="G1335">
        <v>76372</v>
      </c>
      <c r="H1335">
        <v>2010</v>
      </c>
      <c r="I1335" s="1">
        <v>663.48</v>
      </c>
      <c r="J1335" s="1">
        <v>829.35</v>
      </c>
      <c r="K1335" s="1">
        <v>663.48</v>
      </c>
    </row>
    <row r="1336" spans="1:11" x14ac:dyDescent="0.35">
      <c r="A1336">
        <v>744677</v>
      </c>
      <c r="B1336">
        <v>2010495</v>
      </c>
      <c r="C1336" t="str">
        <f>"NEWTON INDEP SCHOOL DISTRICT"</f>
        <v>NEWTON INDEP SCHOOL DISTRICT</v>
      </c>
      <c r="D1336" t="s">
        <v>11</v>
      </c>
      <c r="E1336" t="s">
        <v>1100</v>
      </c>
      <c r="F1336" t="s">
        <v>1101</v>
      </c>
      <c r="G1336">
        <v>75966</v>
      </c>
      <c r="H1336">
        <v>2010</v>
      </c>
      <c r="I1336" s="1">
        <v>5573.92</v>
      </c>
      <c r="J1336" s="1">
        <v>6557.55</v>
      </c>
      <c r="K1336" s="1">
        <v>5573.92</v>
      </c>
    </row>
    <row r="1337" spans="1:11" x14ac:dyDescent="0.35">
      <c r="A1337">
        <v>719968</v>
      </c>
      <c r="B1337">
        <v>1987392</v>
      </c>
      <c r="C1337" t="str">
        <f>"NIXON-SMILEY CONS IND SCH DIST"</f>
        <v>NIXON-SMILEY CONS IND SCH DIST</v>
      </c>
      <c r="D1337" t="s">
        <v>11</v>
      </c>
      <c r="E1337" t="s">
        <v>1102</v>
      </c>
      <c r="F1337" t="s">
        <v>1103</v>
      </c>
      <c r="G1337">
        <v>78140</v>
      </c>
      <c r="H1337">
        <v>2010</v>
      </c>
      <c r="I1337" s="1">
        <v>17017</v>
      </c>
      <c r="J1337" s="1">
        <v>20020</v>
      </c>
      <c r="K1337" s="1">
        <v>17017</v>
      </c>
    </row>
    <row r="1338" spans="1:11" x14ac:dyDescent="0.35">
      <c r="A1338">
        <v>719968</v>
      </c>
      <c r="B1338">
        <v>1987394</v>
      </c>
      <c r="C1338" t="str">
        <f>"NIXON-SMILEY CONS IND SCH DIST"</f>
        <v>NIXON-SMILEY CONS IND SCH DIST</v>
      </c>
      <c r="D1338" t="s">
        <v>11</v>
      </c>
      <c r="E1338" t="s">
        <v>1102</v>
      </c>
      <c r="F1338" t="s">
        <v>1103</v>
      </c>
      <c r="G1338">
        <v>78140</v>
      </c>
      <c r="H1338">
        <v>2010</v>
      </c>
      <c r="I1338" s="1">
        <v>1870</v>
      </c>
      <c r="J1338" s="1">
        <v>3060</v>
      </c>
      <c r="K1338" s="1">
        <v>1870</v>
      </c>
    </row>
    <row r="1339" spans="1:11" x14ac:dyDescent="0.35">
      <c r="A1339">
        <v>719968</v>
      </c>
      <c r="B1339">
        <v>1992725</v>
      </c>
      <c r="C1339" t="str">
        <f>"NIXON-SMILEY CONS IND SCH DIST"</f>
        <v>NIXON-SMILEY CONS IND SCH DIST</v>
      </c>
      <c r="D1339" t="s">
        <v>11</v>
      </c>
      <c r="E1339" t="s">
        <v>1102</v>
      </c>
      <c r="F1339" t="s">
        <v>1103</v>
      </c>
      <c r="G1339">
        <v>78140</v>
      </c>
      <c r="H1339">
        <v>2010</v>
      </c>
      <c r="I1339" s="1">
        <v>3028.13</v>
      </c>
      <c r="J1339" s="1">
        <v>5062.5</v>
      </c>
      <c r="K1339" s="1">
        <v>3028.13</v>
      </c>
    </row>
    <row r="1340" spans="1:11" x14ac:dyDescent="0.35">
      <c r="A1340">
        <v>704983</v>
      </c>
      <c r="B1340">
        <v>1934190</v>
      </c>
      <c r="C1340" t="str">
        <f>"NOCONA INDEP SCHOOL DISTRICT"</f>
        <v>NOCONA INDEP SCHOOL DISTRICT</v>
      </c>
      <c r="D1340" t="s">
        <v>11</v>
      </c>
      <c r="E1340" t="s">
        <v>1104</v>
      </c>
      <c r="F1340" t="s">
        <v>1105</v>
      </c>
      <c r="G1340">
        <v>76255</v>
      </c>
      <c r="H1340">
        <v>2010</v>
      </c>
      <c r="I1340" s="1">
        <v>7550.55</v>
      </c>
      <c r="J1340" s="1">
        <v>10067.4</v>
      </c>
      <c r="K1340" s="1">
        <v>7550.55</v>
      </c>
    </row>
    <row r="1341" spans="1:11" x14ac:dyDescent="0.35">
      <c r="A1341">
        <v>704983</v>
      </c>
      <c r="B1341">
        <v>1934195</v>
      </c>
      <c r="C1341" t="str">
        <f>"NOCONA INDEP SCHOOL DISTRICT"</f>
        <v>NOCONA INDEP SCHOOL DISTRICT</v>
      </c>
      <c r="D1341" t="s">
        <v>11</v>
      </c>
      <c r="E1341" t="s">
        <v>1104</v>
      </c>
      <c r="F1341" t="s">
        <v>1105</v>
      </c>
      <c r="G1341">
        <v>76255</v>
      </c>
      <c r="H1341">
        <v>2010</v>
      </c>
      <c r="I1341" s="1">
        <v>2868.75</v>
      </c>
      <c r="J1341" s="1">
        <v>3825</v>
      </c>
      <c r="K1341" s="1">
        <v>2868.75</v>
      </c>
    </row>
    <row r="1342" spans="1:11" x14ac:dyDescent="0.35">
      <c r="A1342">
        <v>723287</v>
      </c>
      <c r="B1342">
        <v>1960328</v>
      </c>
      <c r="C1342" t="str">
        <f>"NORDHEIM INDEP SCHOOL DISTRICT"</f>
        <v>NORDHEIM INDEP SCHOOL DISTRICT</v>
      </c>
      <c r="D1342" t="s">
        <v>11</v>
      </c>
      <c r="E1342" t="s">
        <v>1106</v>
      </c>
      <c r="F1342" t="s">
        <v>1107</v>
      </c>
      <c r="G1342">
        <v>78141</v>
      </c>
      <c r="H1342">
        <v>2010</v>
      </c>
      <c r="I1342" s="1">
        <v>7200</v>
      </c>
      <c r="J1342" s="1">
        <v>9000</v>
      </c>
      <c r="K1342" s="1">
        <v>6560</v>
      </c>
    </row>
    <row r="1343" spans="1:11" x14ac:dyDescent="0.35">
      <c r="A1343">
        <v>723287</v>
      </c>
      <c r="B1343">
        <v>1960339</v>
      </c>
      <c r="C1343" t="str">
        <f>"NORDHEIM INDEP SCHOOL DISTRICT"</f>
        <v>NORDHEIM INDEP SCHOOL DISTRICT</v>
      </c>
      <c r="D1343" t="s">
        <v>11</v>
      </c>
      <c r="E1343" t="s">
        <v>1106</v>
      </c>
      <c r="F1343" t="s">
        <v>1107</v>
      </c>
      <c r="G1343">
        <v>78141</v>
      </c>
      <c r="H1343">
        <v>2010</v>
      </c>
      <c r="I1343" s="1">
        <v>400.03</v>
      </c>
      <c r="J1343" s="1">
        <v>500.04</v>
      </c>
      <c r="K1343" s="1">
        <v>400.03</v>
      </c>
    </row>
    <row r="1344" spans="1:11" x14ac:dyDescent="0.35">
      <c r="A1344">
        <v>723287</v>
      </c>
      <c r="B1344">
        <v>1960343</v>
      </c>
      <c r="C1344" t="str">
        <f>"NORDHEIM INDEP SCHOOL DISTRICT"</f>
        <v>NORDHEIM INDEP SCHOOL DISTRICT</v>
      </c>
      <c r="D1344" t="s">
        <v>11</v>
      </c>
      <c r="E1344" t="s">
        <v>1106</v>
      </c>
      <c r="F1344" t="s">
        <v>1107</v>
      </c>
      <c r="G1344">
        <v>78141</v>
      </c>
      <c r="H1344">
        <v>2010</v>
      </c>
      <c r="I1344" s="1">
        <v>240</v>
      </c>
      <c r="J1344" s="1">
        <v>300</v>
      </c>
      <c r="K1344" s="1">
        <v>240</v>
      </c>
    </row>
    <row r="1345" spans="1:11" x14ac:dyDescent="0.35">
      <c r="A1345">
        <v>760985</v>
      </c>
      <c r="B1345">
        <v>2055849</v>
      </c>
      <c r="C1345" t="str">
        <f>"NORTH EAST INDEP SCH DISTRICT"</f>
        <v>NORTH EAST INDEP SCH DISTRICT</v>
      </c>
      <c r="D1345" t="s">
        <v>11</v>
      </c>
      <c r="E1345" t="s">
        <v>1108</v>
      </c>
      <c r="F1345" t="s">
        <v>25</v>
      </c>
      <c r="G1345">
        <v>78217</v>
      </c>
      <c r="H1345">
        <v>2010</v>
      </c>
      <c r="I1345" s="1">
        <v>33790</v>
      </c>
      <c r="J1345" s="1">
        <v>54500</v>
      </c>
      <c r="K1345" s="1">
        <v>33790</v>
      </c>
    </row>
    <row r="1346" spans="1:11" x14ac:dyDescent="0.35">
      <c r="A1346">
        <v>766985</v>
      </c>
      <c r="B1346">
        <v>2073948</v>
      </c>
      <c r="C1346" t="str">
        <f>"NORTH EAST INDEP SCH DISTRICT"</f>
        <v>NORTH EAST INDEP SCH DISTRICT</v>
      </c>
      <c r="D1346" t="s">
        <v>11</v>
      </c>
      <c r="E1346" t="s">
        <v>1108</v>
      </c>
      <c r="F1346" t="s">
        <v>25</v>
      </c>
      <c r="G1346">
        <v>78217</v>
      </c>
      <c r="H1346">
        <v>2010</v>
      </c>
      <c r="I1346" s="1">
        <v>0</v>
      </c>
      <c r="J1346" s="1">
        <v>0</v>
      </c>
    </row>
    <row r="1347" spans="1:11" x14ac:dyDescent="0.35">
      <c r="A1347">
        <v>743967</v>
      </c>
      <c r="B1347">
        <v>2008444</v>
      </c>
      <c r="C1347" t="str">
        <f>"NORTH FOREST ISD"</f>
        <v>NORTH FOREST ISD</v>
      </c>
      <c r="D1347" t="s">
        <v>11</v>
      </c>
      <c r="E1347" t="s">
        <v>1109</v>
      </c>
      <c r="F1347" t="s">
        <v>29</v>
      </c>
      <c r="G1347">
        <v>77228</v>
      </c>
      <c r="H1347">
        <v>2010</v>
      </c>
      <c r="I1347" s="1">
        <v>24569.78</v>
      </c>
      <c r="J1347" s="1">
        <v>27299.759999999998</v>
      </c>
      <c r="K1347" s="1">
        <v>24569.78</v>
      </c>
    </row>
    <row r="1348" spans="1:11" x14ac:dyDescent="0.35">
      <c r="A1348">
        <v>716171</v>
      </c>
      <c r="B1348">
        <v>1963675</v>
      </c>
      <c r="C1348" t="str">
        <f>"NORTH HOPKINS INDEP SCH DIST"</f>
        <v>NORTH HOPKINS INDEP SCH DIST</v>
      </c>
      <c r="D1348" t="s">
        <v>11</v>
      </c>
      <c r="E1348" t="s">
        <v>1110</v>
      </c>
      <c r="F1348" t="s">
        <v>1111</v>
      </c>
      <c r="G1348">
        <v>75482</v>
      </c>
      <c r="H1348">
        <v>2010</v>
      </c>
      <c r="I1348" s="1">
        <v>1299.48</v>
      </c>
      <c r="J1348" s="1">
        <v>1624.35</v>
      </c>
      <c r="K1348" s="1">
        <v>1299.48</v>
      </c>
    </row>
    <row r="1349" spans="1:11" x14ac:dyDescent="0.35">
      <c r="A1349">
        <v>716171</v>
      </c>
      <c r="B1349">
        <v>1963680</v>
      </c>
      <c r="C1349" t="str">
        <f>"NORTH HOPKINS INDEP SCH DIST"</f>
        <v>NORTH HOPKINS INDEP SCH DIST</v>
      </c>
      <c r="D1349" t="s">
        <v>11</v>
      </c>
      <c r="E1349" t="s">
        <v>1110</v>
      </c>
      <c r="F1349" t="s">
        <v>1111</v>
      </c>
      <c r="G1349">
        <v>75482</v>
      </c>
      <c r="H1349">
        <v>2010</v>
      </c>
      <c r="I1349" s="1">
        <v>640</v>
      </c>
      <c r="J1349" s="1">
        <v>800</v>
      </c>
      <c r="K1349" s="1">
        <v>640</v>
      </c>
    </row>
    <row r="1350" spans="1:11" x14ac:dyDescent="0.35">
      <c r="A1350">
        <v>764250</v>
      </c>
      <c r="B1350">
        <v>2075470</v>
      </c>
      <c r="C1350" t="str">
        <f>"NORTH LAMAR INDEP SCHOOL DIST"</f>
        <v>NORTH LAMAR INDEP SCHOOL DIST</v>
      </c>
      <c r="D1350" t="s">
        <v>11</v>
      </c>
      <c r="E1350" t="s">
        <v>1112</v>
      </c>
      <c r="F1350" t="s">
        <v>307</v>
      </c>
      <c r="G1350">
        <v>75462</v>
      </c>
      <c r="H1350">
        <v>2010</v>
      </c>
      <c r="I1350" s="1">
        <v>3253.8</v>
      </c>
      <c r="J1350" s="1">
        <v>4785</v>
      </c>
      <c r="K1350" s="1">
        <v>3253.8</v>
      </c>
    </row>
    <row r="1351" spans="1:11" x14ac:dyDescent="0.35">
      <c r="A1351">
        <v>719847</v>
      </c>
      <c r="B1351">
        <v>1953925</v>
      </c>
      <c r="C1351" t="str">
        <f>"NORTH ZULCH SCHOOL DISTRICT"</f>
        <v>NORTH ZULCH SCHOOL DISTRICT</v>
      </c>
      <c r="D1351" t="s">
        <v>11</v>
      </c>
      <c r="E1351" t="s">
        <v>1113</v>
      </c>
      <c r="F1351" t="s">
        <v>1114</v>
      </c>
      <c r="G1351">
        <v>77872</v>
      </c>
      <c r="H1351">
        <v>2010</v>
      </c>
      <c r="I1351" s="1">
        <v>6365.04</v>
      </c>
      <c r="J1351" s="1">
        <v>8375.0499999999993</v>
      </c>
      <c r="K1351" s="1">
        <v>6365.04</v>
      </c>
    </row>
    <row r="1352" spans="1:11" x14ac:dyDescent="0.35">
      <c r="A1352">
        <v>725096</v>
      </c>
      <c r="B1352">
        <v>1963734</v>
      </c>
      <c r="C1352" t="str">
        <f>"NORTH ZULCH SCHOOL DISTRICT"</f>
        <v>NORTH ZULCH SCHOOL DISTRICT</v>
      </c>
      <c r="D1352" t="s">
        <v>11</v>
      </c>
      <c r="E1352" t="s">
        <v>1113</v>
      </c>
      <c r="F1352" t="s">
        <v>1114</v>
      </c>
      <c r="G1352">
        <v>77872</v>
      </c>
      <c r="H1352">
        <v>2010</v>
      </c>
      <c r="I1352" s="1">
        <v>768.93</v>
      </c>
      <c r="J1352" s="1">
        <v>1011.75</v>
      </c>
      <c r="K1352" s="1">
        <v>730.48</v>
      </c>
    </row>
    <row r="1353" spans="1:11" x14ac:dyDescent="0.35">
      <c r="A1353">
        <v>720087</v>
      </c>
      <c r="B1353">
        <v>1954185</v>
      </c>
      <c r="C1353" t="str">
        <f>"NORTH ZULCH SCHOOL DISTRICT"</f>
        <v>NORTH ZULCH SCHOOL DISTRICT</v>
      </c>
      <c r="D1353" t="s">
        <v>11</v>
      </c>
      <c r="E1353" t="s">
        <v>1113</v>
      </c>
      <c r="F1353" t="s">
        <v>1114</v>
      </c>
      <c r="G1353">
        <v>77872</v>
      </c>
      <c r="H1353">
        <v>2010</v>
      </c>
      <c r="I1353" s="1">
        <v>17943.240000000002</v>
      </c>
      <c r="J1353" s="1">
        <v>23609.52</v>
      </c>
      <c r="K1353" s="1">
        <v>17943.240000000002</v>
      </c>
    </row>
    <row r="1354" spans="1:11" x14ac:dyDescent="0.35">
      <c r="A1354">
        <v>730393</v>
      </c>
      <c r="B1354">
        <v>1975402</v>
      </c>
      <c r="C1354" t="str">
        <f>"NORTHSIDE INDEP SCHOOL DIST"</f>
        <v>NORTHSIDE INDEP SCHOOL DIST</v>
      </c>
      <c r="D1354" t="s">
        <v>11</v>
      </c>
      <c r="E1354" t="s">
        <v>1115</v>
      </c>
      <c r="F1354" t="s">
        <v>25</v>
      </c>
      <c r="G1354">
        <v>78238</v>
      </c>
      <c r="H1354">
        <v>2010</v>
      </c>
      <c r="I1354" s="1">
        <v>73935.88</v>
      </c>
      <c r="J1354" s="1">
        <v>108729.24</v>
      </c>
      <c r="K1354" s="1">
        <v>64273.01</v>
      </c>
    </row>
    <row r="1355" spans="1:11" x14ac:dyDescent="0.35">
      <c r="A1355">
        <v>731321</v>
      </c>
      <c r="B1355">
        <v>1985919</v>
      </c>
      <c r="C1355" t="str">
        <f>"NORTHSIDE INDEP SCHOOL DIST"</f>
        <v>NORTHSIDE INDEP SCHOOL DIST</v>
      </c>
      <c r="D1355" t="s">
        <v>11</v>
      </c>
      <c r="E1355" t="s">
        <v>1116</v>
      </c>
      <c r="F1355" t="s">
        <v>1117</v>
      </c>
      <c r="G1355">
        <v>76384</v>
      </c>
      <c r="H1355">
        <v>2010</v>
      </c>
      <c r="I1355" s="1">
        <v>6720</v>
      </c>
      <c r="J1355" s="1">
        <v>8400</v>
      </c>
      <c r="K1355" s="1">
        <v>4263.84</v>
      </c>
    </row>
    <row r="1356" spans="1:11" x14ac:dyDescent="0.35">
      <c r="A1356">
        <v>731321</v>
      </c>
      <c r="B1356">
        <v>2007088</v>
      </c>
      <c r="C1356" t="str">
        <f>"NORTHSIDE INDEP SCHOOL DIST"</f>
        <v>NORTHSIDE INDEP SCHOOL DIST</v>
      </c>
      <c r="D1356" t="s">
        <v>11</v>
      </c>
      <c r="E1356" t="s">
        <v>1116</v>
      </c>
      <c r="F1356" t="s">
        <v>1117</v>
      </c>
      <c r="G1356">
        <v>76384</v>
      </c>
      <c r="H1356">
        <v>2010</v>
      </c>
      <c r="I1356" s="1">
        <v>685.34</v>
      </c>
      <c r="J1356" s="1">
        <v>856.68</v>
      </c>
      <c r="K1356" s="1">
        <v>663.48</v>
      </c>
    </row>
    <row r="1357" spans="1:11" x14ac:dyDescent="0.35">
      <c r="A1357">
        <v>719975</v>
      </c>
      <c r="B1357">
        <v>2018263</v>
      </c>
      <c r="C1357" t="str">
        <f>"NORTHWEST INDEP SCHOOL DIST"</f>
        <v>NORTHWEST INDEP SCHOOL DIST</v>
      </c>
      <c r="D1357" t="s">
        <v>11</v>
      </c>
      <c r="E1357" t="s">
        <v>1118</v>
      </c>
      <c r="F1357" t="s">
        <v>1119</v>
      </c>
      <c r="G1357">
        <v>76177</v>
      </c>
      <c r="H1357">
        <v>2010</v>
      </c>
      <c r="I1357" s="1">
        <v>8640</v>
      </c>
      <c r="J1357" s="1">
        <v>19200</v>
      </c>
      <c r="K1357" s="1">
        <v>8640</v>
      </c>
    </row>
    <row r="1358" spans="1:11" x14ac:dyDescent="0.35">
      <c r="A1358">
        <v>719975</v>
      </c>
      <c r="B1358">
        <v>2017999</v>
      </c>
      <c r="C1358" t="str">
        <f>"NORTHWEST INDEP SCHOOL DIST"</f>
        <v>NORTHWEST INDEP SCHOOL DIST</v>
      </c>
      <c r="D1358" t="s">
        <v>11</v>
      </c>
      <c r="E1358" t="s">
        <v>1118</v>
      </c>
      <c r="F1358" t="s">
        <v>1119</v>
      </c>
      <c r="G1358">
        <v>76177</v>
      </c>
      <c r="H1358">
        <v>2010</v>
      </c>
      <c r="I1358" s="1">
        <v>34095.599999999999</v>
      </c>
      <c r="J1358" s="1">
        <v>75768</v>
      </c>
      <c r="K1358" s="1">
        <v>34095.599999999999</v>
      </c>
    </row>
    <row r="1359" spans="1:11" x14ac:dyDescent="0.35">
      <c r="A1359">
        <v>710991</v>
      </c>
      <c r="B1359">
        <v>1973839</v>
      </c>
      <c r="C1359" t="str">
        <f>"O'DONNELL IND SCHOOL DISTRICT"</f>
        <v>O'DONNELL IND SCHOOL DISTRICT</v>
      </c>
      <c r="D1359" t="s">
        <v>11</v>
      </c>
      <c r="E1359" t="s">
        <v>1120</v>
      </c>
      <c r="F1359" t="s">
        <v>1121</v>
      </c>
      <c r="G1359">
        <v>79351</v>
      </c>
      <c r="H1359">
        <v>2010</v>
      </c>
      <c r="I1359" s="1">
        <v>1056</v>
      </c>
      <c r="J1359" s="1">
        <v>1200</v>
      </c>
      <c r="K1359" s="1">
        <v>1056</v>
      </c>
    </row>
    <row r="1360" spans="1:11" x14ac:dyDescent="0.35">
      <c r="A1360">
        <v>710991</v>
      </c>
      <c r="B1360">
        <v>1973844</v>
      </c>
      <c r="C1360" t="str">
        <f>"O'DONNELL IND SCHOOL DISTRICT"</f>
        <v>O'DONNELL IND SCHOOL DISTRICT</v>
      </c>
      <c r="D1360" t="s">
        <v>11</v>
      </c>
      <c r="E1360" t="s">
        <v>1120</v>
      </c>
      <c r="F1360" t="s">
        <v>1121</v>
      </c>
      <c r="G1360">
        <v>79351</v>
      </c>
      <c r="H1360">
        <v>2010</v>
      </c>
      <c r="I1360" s="1">
        <v>422.4</v>
      </c>
      <c r="J1360" s="1">
        <v>480</v>
      </c>
      <c r="K1360" s="1">
        <v>422.4</v>
      </c>
    </row>
    <row r="1361" spans="1:11" x14ac:dyDescent="0.35">
      <c r="A1361">
        <v>710991</v>
      </c>
      <c r="B1361">
        <v>1973834</v>
      </c>
      <c r="C1361" t="str">
        <f>"O'DONNELL IND SCHOOL DISTRICT"</f>
        <v>O'DONNELL IND SCHOOL DISTRICT</v>
      </c>
      <c r="D1361" t="s">
        <v>11</v>
      </c>
      <c r="E1361" t="s">
        <v>1120</v>
      </c>
      <c r="F1361" t="s">
        <v>1121</v>
      </c>
      <c r="G1361">
        <v>79351</v>
      </c>
      <c r="H1361">
        <v>2010</v>
      </c>
      <c r="I1361" s="1">
        <v>6072</v>
      </c>
      <c r="J1361" s="1">
        <v>6900</v>
      </c>
      <c r="K1361" s="1">
        <v>6072</v>
      </c>
    </row>
    <row r="1362" spans="1:11" x14ac:dyDescent="0.35">
      <c r="A1362">
        <v>743643</v>
      </c>
      <c r="B1362">
        <v>2007803</v>
      </c>
      <c r="C1362" t="str">
        <f>"OAKWOOD INDEP SCHOOL DISTRICT"</f>
        <v>OAKWOOD INDEP SCHOOL DISTRICT</v>
      </c>
      <c r="D1362" t="s">
        <v>11</v>
      </c>
      <c r="E1362" t="s">
        <v>1122</v>
      </c>
      <c r="F1362" t="s">
        <v>1123</v>
      </c>
      <c r="G1362">
        <v>75855</v>
      </c>
      <c r="H1362">
        <v>2010</v>
      </c>
      <c r="I1362" s="1">
        <v>14277.98</v>
      </c>
      <c r="J1362" s="1">
        <v>17847.48</v>
      </c>
      <c r="K1362" s="1">
        <v>14277.98</v>
      </c>
    </row>
    <row r="1363" spans="1:11" x14ac:dyDescent="0.35">
      <c r="A1363">
        <v>729633</v>
      </c>
      <c r="B1363">
        <v>2007097</v>
      </c>
      <c r="C1363" t="str">
        <f>"OGLESBY INDEP SCHOOL DISTRICT"</f>
        <v>OGLESBY INDEP SCHOOL DISTRICT</v>
      </c>
      <c r="D1363" t="s">
        <v>11</v>
      </c>
      <c r="E1363" t="s">
        <v>1124</v>
      </c>
      <c r="F1363" t="s">
        <v>1125</v>
      </c>
      <c r="G1363">
        <v>76561</v>
      </c>
      <c r="H1363">
        <v>2010</v>
      </c>
      <c r="I1363" s="1">
        <v>18144</v>
      </c>
      <c r="J1363" s="1">
        <v>22680</v>
      </c>
      <c r="K1363" s="1">
        <v>18144</v>
      </c>
    </row>
    <row r="1364" spans="1:11" x14ac:dyDescent="0.35">
      <c r="A1364">
        <v>738108</v>
      </c>
      <c r="B1364">
        <v>2017235</v>
      </c>
      <c r="C1364" t="str">
        <f>"OLNEY INDEP SCHOOL DISTRICT"</f>
        <v>OLNEY INDEP SCHOOL DISTRICT</v>
      </c>
      <c r="D1364" t="s">
        <v>11</v>
      </c>
      <c r="E1364" t="s">
        <v>1126</v>
      </c>
      <c r="F1364" t="s">
        <v>1127</v>
      </c>
      <c r="G1364">
        <v>76374</v>
      </c>
      <c r="H1364">
        <v>2010</v>
      </c>
      <c r="I1364" s="1">
        <v>8355.94</v>
      </c>
      <c r="J1364" s="1">
        <v>10067.4</v>
      </c>
      <c r="K1364" s="1">
        <v>8304.33</v>
      </c>
    </row>
    <row r="1365" spans="1:11" x14ac:dyDescent="0.35">
      <c r="A1365">
        <v>738108</v>
      </c>
      <c r="B1365">
        <v>2018653</v>
      </c>
      <c r="C1365" t="str">
        <f>"OLNEY INDEP SCHOOL DISTRICT"</f>
        <v>OLNEY INDEP SCHOOL DISTRICT</v>
      </c>
      <c r="D1365" t="s">
        <v>11</v>
      </c>
      <c r="E1365" t="s">
        <v>1126</v>
      </c>
      <c r="F1365" t="s">
        <v>1127</v>
      </c>
      <c r="G1365">
        <v>76374</v>
      </c>
      <c r="H1365">
        <v>2010</v>
      </c>
      <c r="I1365" s="1">
        <v>3237</v>
      </c>
      <c r="J1365" s="1">
        <v>3900</v>
      </c>
      <c r="K1365" s="1">
        <v>3004.12</v>
      </c>
    </row>
    <row r="1366" spans="1:11" x14ac:dyDescent="0.35">
      <c r="A1366">
        <v>738108</v>
      </c>
      <c r="B1366">
        <v>2018627</v>
      </c>
      <c r="C1366" t="str">
        <f>"OLNEY INDEP SCHOOL DISTRICT"</f>
        <v>OLNEY INDEP SCHOOL DISTRICT</v>
      </c>
      <c r="D1366" t="s">
        <v>11</v>
      </c>
      <c r="E1366" t="s">
        <v>1126</v>
      </c>
      <c r="F1366" t="s">
        <v>1127</v>
      </c>
      <c r="G1366">
        <v>76374</v>
      </c>
      <c r="H1366">
        <v>2010</v>
      </c>
      <c r="I1366" s="1">
        <v>1927.26</v>
      </c>
      <c r="J1366" s="1">
        <v>2322</v>
      </c>
      <c r="K1366" s="1">
        <v>1927.26</v>
      </c>
    </row>
    <row r="1367" spans="1:11" x14ac:dyDescent="0.35">
      <c r="A1367">
        <v>740017</v>
      </c>
      <c r="B1367">
        <v>2049378</v>
      </c>
      <c r="C1367" t="str">
        <f>"OLTON INDEPENDENT SCHOOL DISTRICT"</f>
        <v>OLTON INDEPENDENT SCHOOL DISTRICT</v>
      </c>
      <c r="D1367" t="s">
        <v>11</v>
      </c>
      <c r="E1367" t="s">
        <v>1128</v>
      </c>
      <c r="F1367" t="s">
        <v>1129</v>
      </c>
      <c r="G1367">
        <v>79064</v>
      </c>
      <c r="H1367">
        <v>2010</v>
      </c>
      <c r="I1367" s="1">
        <v>23460</v>
      </c>
      <c r="J1367" s="1">
        <v>27600</v>
      </c>
      <c r="K1367" s="1">
        <v>9384</v>
      </c>
    </row>
    <row r="1368" spans="1:11" x14ac:dyDescent="0.35">
      <c r="A1368">
        <v>740017</v>
      </c>
      <c r="B1368">
        <v>2049383</v>
      </c>
      <c r="C1368" t="str">
        <f>"OLTON INDEPENDENT SCHOOL DISTRICT"</f>
        <v>OLTON INDEPENDENT SCHOOL DISTRICT</v>
      </c>
      <c r="D1368" t="s">
        <v>11</v>
      </c>
      <c r="E1368" t="s">
        <v>1128</v>
      </c>
      <c r="F1368" t="s">
        <v>1129</v>
      </c>
      <c r="G1368">
        <v>79064</v>
      </c>
      <c r="H1368">
        <v>2010</v>
      </c>
      <c r="I1368" s="1">
        <v>33558</v>
      </c>
      <c r="J1368" s="1">
        <v>39480</v>
      </c>
    </row>
    <row r="1369" spans="1:11" x14ac:dyDescent="0.35">
      <c r="A1369">
        <v>755327</v>
      </c>
      <c r="B1369">
        <v>2041281</v>
      </c>
      <c r="C1369" t="str">
        <f>"ONALASKA INDEP SCHOOL DISTRICT"</f>
        <v>ONALASKA INDEP SCHOOL DISTRICT</v>
      </c>
      <c r="D1369" t="s">
        <v>11</v>
      </c>
      <c r="E1369" t="s">
        <v>1130</v>
      </c>
      <c r="F1369" t="s">
        <v>1131</v>
      </c>
      <c r="G1369">
        <v>77360</v>
      </c>
      <c r="H1369">
        <v>2010</v>
      </c>
      <c r="I1369" s="1">
        <v>6719.08</v>
      </c>
      <c r="J1369" s="1">
        <v>8398.85</v>
      </c>
      <c r="K1369" s="1">
        <v>6700.04</v>
      </c>
    </row>
    <row r="1370" spans="1:11" x14ac:dyDescent="0.35">
      <c r="A1370">
        <v>755302</v>
      </c>
      <c r="B1370">
        <v>2041170</v>
      </c>
      <c r="C1370" t="str">
        <f>"ONALASKA INDEP SCHOOL DISTRICT"</f>
        <v>ONALASKA INDEP SCHOOL DISTRICT</v>
      </c>
      <c r="D1370" t="s">
        <v>11</v>
      </c>
      <c r="E1370" t="s">
        <v>1130</v>
      </c>
      <c r="F1370" t="s">
        <v>1131</v>
      </c>
      <c r="G1370">
        <v>77360</v>
      </c>
      <c r="H1370">
        <v>2010</v>
      </c>
      <c r="I1370" s="1">
        <v>19512</v>
      </c>
      <c r="J1370" s="1">
        <v>24390</v>
      </c>
      <c r="K1370" s="1">
        <v>19512</v>
      </c>
    </row>
    <row r="1371" spans="1:11" x14ac:dyDescent="0.35">
      <c r="A1371">
        <v>755420</v>
      </c>
      <c r="B1371">
        <v>2041532</v>
      </c>
      <c r="C1371" t="str">
        <f>"ONALASKA INDEP SCHOOL DISTRICT"</f>
        <v>ONALASKA INDEP SCHOOL DISTRICT</v>
      </c>
      <c r="D1371" t="s">
        <v>11</v>
      </c>
      <c r="E1371" t="s">
        <v>1130</v>
      </c>
      <c r="F1371" t="s">
        <v>1131</v>
      </c>
      <c r="G1371">
        <v>77360</v>
      </c>
      <c r="H1371">
        <v>2010</v>
      </c>
      <c r="I1371" s="1">
        <v>2381.44</v>
      </c>
      <c r="J1371" s="1">
        <v>2976.8</v>
      </c>
      <c r="K1371" s="1">
        <v>1933.44</v>
      </c>
    </row>
    <row r="1372" spans="1:11" x14ac:dyDescent="0.35">
      <c r="A1372">
        <v>761570</v>
      </c>
      <c r="B1372">
        <v>2064908</v>
      </c>
      <c r="C1372" t="str">
        <f>"ORANGE GROVE INDEP SCHOOL DIST"</f>
        <v>ORANGE GROVE INDEP SCHOOL DIST</v>
      </c>
      <c r="D1372" t="s">
        <v>11</v>
      </c>
      <c r="E1372" t="s">
        <v>1132</v>
      </c>
      <c r="F1372" t="s">
        <v>1133</v>
      </c>
      <c r="G1372">
        <v>78372</v>
      </c>
      <c r="H1372">
        <v>2010</v>
      </c>
      <c r="I1372" s="1">
        <v>15629.17</v>
      </c>
      <c r="J1372" s="1">
        <v>19059.96</v>
      </c>
      <c r="K1372" s="1">
        <v>15629.17</v>
      </c>
    </row>
    <row r="1373" spans="1:11" x14ac:dyDescent="0.35">
      <c r="A1373">
        <v>732527</v>
      </c>
      <c r="B1373">
        <v>1981009</v>
      </c>
      <c r="C1373" t="str">
        <f>"ORANGEFIELD INDEP SCHOOL DIST"</f>
        <v>ORANGEFIELD INDEP SCHOOL DIST</v>
      </c>
      <c r="D1373" t="s">
        <v>11</v>
      </c>
      <c r="E1373" t="s">
        <v>1134</v>
      </c>
      <c r="F1373" t="s">
        <v>1135</v>
      </c>
      <c r="G1373">
        <v>77639</v>
      </c>
      <c r="H1373">
        <v>2010</v>
      </c>
      <c r="I1373" s="1">
        <v>1881.9</v>
      </c>
      <c r="J1373" s="1">
        <v>3485</v>
      </c>
      <c r="K1373" s="1">
        <v>1881.9</v>
      </c>
    </row>
    <row r="1374" spans="1:11" x14ac:dyDescent="0.35">
      <c r="A1374">
        <v>763726</v>
      </c>
      <c r="B1374">
        <v>2064518</v>
      </c>
      <c r="C1374" t="str">
        <f>"ORE CITY INDEP SCHOOL DISTRICT"</f>
        <v>ORE CITY INDEP SCHOOL DISTRICT</v>
      </c>
      <c r="D1374" t="s">
        <v>11</v>
      </c>
      <c r="E1374" t="s">
        <v>1136</v>
      </c>
      <c r="F1374" t="s">
        <v>1137</v>
      </c>
      <c r="G1374">
        <v>75683</v>
      </c>
      <c r="H1374">
        <v>2010</v>
      </c>
      <c r="I1374" s="1">
        <v>29856</v>
      </c>
      <c r="J1374" s="1">
        <v>37320</v>
      </c>
      <c r="K1374" s="1">
        <v>25665.33</v>
      </c>
    </row>
    <row r="1375" spans="1:11" x14ac:dyDescent="0.35">
      <c r="A1375">
        <v>763726</v>
      </c>
      <c r="B1375">
        <v>2064490</v>
      </c>
      <c r="C1375" t="str">
        <f>"ORE CITY INDEP SCHOOL DISTRICT"</f>
        <v>ORE CITY INDEP SCHOOL DISTRICT</v>
      </c>
      <c r="D1375" t="s">
        <v>11</v>
      </c>
      <c r="E1375" t="s">
        <v>1136</v>
      </c>
      <c r="F1375" t="s">
        <v>1137</v>
      </c>
      <c r="G1375">
        <v>75683</v>
      </c>
      <c r="H1375">
        <v>2010</v>
      </c>
      <c r="I1375" s="1">
        <v>873.6</v>
      </c>
      <c r="J1375" s="1">
        <v>1092</v>
      </c>
      <c r="K1375" s="1">
        <v>873.6</v>
      </c>
    </row>
    <row r="1376" spans="1:11" x14ac:dyDescent="0.35">
      <c r="A1376">
        <v>748387</v>
      </c>
      <c r="B1376">
        <v>2020653</v>
      </c>
      <c r="C1376" t="str">
        <f>"ORENDA CHARTER SCHOOL"</f>
        <v>ORENDA CHARTER SCHOOL</v>
      </c>
      <c r="D1376" t="s">
        <v>11</v>
      </c>
      <c r="E1376" t="s">
        <v>1138</v>
      </c>
      <c r="F1376" t="s">
        <v>594</v>
      </c>
      <c r="G1376">
        <v>78628</v>
      </c>
      <c r="H1376">
        <v>2010</v>
      </c>
      <c r="I1376" s="1">
        <v>29894.400000000001</v>
      </c>
      <c r="J1376" s="1">
        <v>41520</v>
      </c>
      <c r="K1376" s="1">
        <v>29894.400000000001</v>
      </c>
    </row>
    <row r="1377" spans="1:11" x14ac:dyDescent="0.35">
      <c r="A1377">
        <v>765183</v>
      </c>
      <c r="B1377">
        <v>2076505</v>
      </c>
      <c r="C1377" t="str">
        <f>"OVERTON INDEP SCHOOL DISTRICT"</f>
        <v>OVERTON INDEP SCHOOL DISTRICT</v>
      </c>
      <c r="D1377" t="s">
        <v>11</v>
      </c>
      <c r="E1377" t="s">
        <v>1139</v>
      </c>
      <c r="F1377" t="s">
        <v>882</v>
      </c>
      <c r="G1377">
        <v>75684</v>
      </c>
      <c r="H1377">
        <v>2010</v>
      </c>
      <c r="I1377" s="1">
        <v>1218.33</v>
      </c>
      <c r="J1377" s="1">
        <v>1624.44</v>
      </c>
      <c r="K1377" s="1">
        <v>1218.33</v>
      </c>
    </row>
    <row r="1378" spans="1:11" x14ac:dyDescent="0.35">
      <c r="A1378">
        <v>745944</v>
      </c>
      <c r="B1378">
        <v>2026607</v>
      </c>
      <c r="C1378" t="str">
        <f>"OVERTON INDEP SCHOOL DISTRICT"</f>
        <v>OVERTON INDEP SCHOOL DISTRICT</v>
      </c>
      <c r="D1378" t="s">
        <v>11</v>
      </c>
      <c r="E1378" t="s">
        <v>1139</v>
      </c>
      <c r="F1378" t="s">
        <v>882</v>
      </c>
      <c r="G1378">
        <v>75684</v>
      </c>
      <c r="H1378">
        <v>2010</v>
      </c>
      <c r="I1378" s="1">
        <v>0</v>
      </c>
      <c r="J1378" s="1">
        <v>0</v>
      </c>
    </row>
    <row r="1379" spans="1:11" x14ac:dyDescent="0.35">
      <c r="A1379">
        <v>731694</v>
      </c>
      <c r="B1379">
        <v>1982876</v>
      </c>
      <c r="C1379" t="str">
        <f>"PALACIOS INDEP SCHOOL DISTRICT"</f>
        <v>PALACIOS INDEP SCHOOL DISTRICT</v>
      </c>
      <c r="D1379" t="s">
        <v>11</v>
      </c>
      <c r="E1379" t="s">
        <v>1140</v>
      </c>
      <c r="F1379" t="s">
        <v>1141</v>
      </c>
      <c r="G1379">
        <v>77465</v>
      </c>
      <c r="H1379">
        <v>2010</v>
      </c>
      <c r="I1379" s="1">
        <v>46080</v>
      </c>
      <c r="J1379" s="1">
        <v>57600</v>
      </c>
      <c r="K1379" s="1">
        <v>28109</v>
      </c>
    </row>
    <row r="1380" spans="1:11" x14ac:dyDescent="0.35">
      <c r="A1380">
        <v>731694</v>
      </c>
      <c r="B1380">
        <v>1982888</v>
      </c>
      <c r="C1380" t="str">
        <f>"PALACIOS INDEP SCHOOL DISTRICT"</f>
        <v>PALACIOS INDEP SCHOOL DISTRICT</v>
      </c>
      <c r="D1380" t="s">
        <v>11</v>
      </c>
      <c r="E1380" t="s">
        <v>1140</v>
      </c>
      <c r="F1380" t="s">
        <v>1141</v>
      </c>
      <c r="G1380">
        <v>77465</v>
      </c>
      <c r="H1380">
        <v>2010</v>
      </c>
      <c r="I1380" s="1">
        <v>12000</v>
      </c>
      <c r="J1380" s="1">
        <v>15000</v>
      </c>
      <c r="K1380" s="1">
        <v>10757.99</v>
      </c>
    </row>
    <row r="1381" spans="1:11" x14ac:dyDescent="0.35">
      <c r="A1381">
        <v>731694</v>
      </c>
      <c r="B1381">
        <v>1982898</v>
      </c>
      <c r="C1381" t="str">
        <f>"PALACIOS INDEP SCHOOL DISTRICT"</f>
        <v>PALACIOS INDEP SCHOOL DISTRICT</v>
      </c>
      <c r="D1381" t="s">
        <v>11</v>
      </c>
      <c r="E1381" t="s">
        <v>1140</v>
      </c>
      <c r="F1381" t="s">
        <v>1141</v>
      </c>
      <c r="G1381">
        <v>77465</v>
      </c>
      <c r="H1381">
        <v>2010</v>
      </c>
      <c r="I1381" s="1">
        <v>0</v>
      </c>
      <c r="J1381" s="1">
        <v>0</v>
      </c>
    </row>
    <row r="1382" spans="1:11" x14ac:dyDescent="0.35">
      <c r="A1382">
        <v>731694</v>
      </c>
      <c r="B1382">
        <v>1986361</v>
      </c>
      <c r="C1382" t="str">
        <f>"PALACIOS INDEP SCHOOL DISTRICT"</f>
        <v>PALACIOS INDEP SCHOOL DISTRICT</v>
      </c>
      <c r="D1382" t="s">
        <v>11</v>
      </c>
      <c r="E1382" t="s">
        <v>1140</v>
      </c>
      <c r="F1382" t="s">
        <v>1141</v>
      </c>
      <c r="G1382">
        <v>77465</v>
      </c>
      <c r="H1382">
        <v>2010</v>
      </c>
      <c r="I1382" s="1">
        <v>1260</v>
      </c>
      <c r="J1382" s="1">
        <v>1575</v>
      </c>
      <c r="K1382" s="1">
        <v>1260</v>
      </c>
    </row>
    <row r="1383" spans="1:11" x14ac:dyDescent="0.35">
      <c r="A1383">
        <v>731694</v>
      </c>
      <c r="B1383">
        <v>1986309</v>
      </c>
      <c r="C1383" t="str">
        <f>"PALACIOS INDEP SCHOOL DISTRICT"</f>
        <v>PALACIOS INDEP SCHOOL DISTRICT</v>
      </c>
      <c r="D1383" t="s">
        <v>11</v>
      </c>
      <c r="E1383" t="s">
        <v>1140</v>
      </c>
      <c r="F1383" t="s">
        <v>1141</v>
      </c>
      <c r="G1383">
        <v>77465</v>
      </c>
      <c r="H1383">
        <v>2010</v>
      </c>
      <c r="I1383" s="1">
        <v>2760.17</v>
      </c>
      <c r="J1383" s="1">
        <v>3450.21</v>
      </c>
      <c r="K1383" s="1">
        <v>2760.17</v>
      </c>
    </row>
    <row r="1384" spans="1:11" x14ac:dyDescent="0.35">
      <c r="A1384">
        <v>749305</v>
      </c>
      <c r="B1384">
        <v>2024259</v>
      </c>
      <c r="C1384" t="str">
        <f>"PALESTINE INDEP SCHOOL DIST"</f>
        <v>PALESTINE INDEP SCHOOL DIST</v>
      </c>
      <c r="D1384" t="s">
        <v>11</v>
      </c>
      <c r="E1384" t="s">
        <v>1142</v>
      </c>
      <c r="F1384" t="s">
        <v>1143</v>
      </c>
      <c r="G1384">
        <v>75801</v>
      </c>
      <c r="H1384">
        <v>2010</v>
      </c>
      <c r="I1384" s="1">
        <v>76556.52</v>
      </c>
      <c r="J1384" s="1">
        <v>87996</v>
      </c>
      <c r="K1384" s="1">
        <v>76556.52</v>
      </c>
    </row>
    <row r="1385" spans="1:11" x14ac:dyDescent="0.35">
      <c r="A1385">
        <v>749189</v>
      </c>
      <c r="B1385">
        <v>2023861</v>
      </c>
      <c r="C1385" t="str">
        <f>"PALESTINE INDEP SCHOOL DIST"</f>
        <v>PALESTINE INDEP SCHOOL DIST</v>
      </c>
      <c r="D1385" t="s">
        <v>11</v>
      </c>
      <c r="E1385" t="s">
        <v>1142</v>
      </c>
      <c r="F1385" t="s">
        <v>1143</v>
      </c>
      <c r="G1385">
        <v>75801</v>
      </c>
      <c r="H1385">
        <v>2010</v>
      </c>
      <c r="I1385" s="1">
        <v>16315.98</v>
      </c>
      <c r="J1385" s="1">
        <v>18754</v>
      </c>
      <c r="K1385" s="1">
        <v>16315.98</v>
      </c>
    </row>
    <row r="1386" spans="1:11" x14ac:dyDescent="0.35">
      <c r="A1386">
        <v>724466</v>
      </c>
      <c r="B1386">
        <v>1980494</v>
      </c>
      <c r="C1386" t="str">
        <f>"PAMPA INDEP SCHOOL DISTRICT"</f>
        <v>PAMPA INDEP SCHOOL DISTRICT</v>
      </c>
      <c r="D1386" t="s">
        <v>11</v>
      </c>
      <c r="E1386" t="s">
        <v>1144</v>
      </c>
      <c r="F1386" t="s">
        <v>1145</v>
      </c>
      <c r="G1386">
        <v>79065</v>
      </c>
      <c r="H1386">
        <v>2010</v>
      </c>
      <c r="I1386" s="1">
        <v>17074.23</v>
      </c>
      <c r="J1386" s="1">
        <v>21890.04</v>
      </c>
      <c r="K1386" s="1">
        <v>14929.2</v>
      </c>
    </row>
    <row r="1387" spans="1:11" x14ac:dyDescent="0.35">
      <c r="A1387">
        <v>724466</v>
      </c>
      <c r="B1387">
        <v>1974661</v>
      </c>
      <c r="C1387" t="str">
        <f>"PAMPA INDEP SCHOOL DISTRICT"</f>
        <v>PAMPA INDEP SCHOOL DISTRICT</v>
      </c>
      <c r="D1387" t="s">
        <v>11</v>
      </c>
      <c r="E1387" t="s">
        <v>1144</v>
      </c>
      <c r="F1387" t="s">
        <v>1145</v>
      </c>
      <c r="G1387">
        <v>79065</v>
      </c>
      <c r="H1387">
        <v>2010</v>
      </c>
      <c r="I1387" s="1">
        <v>5772.03</v>
      </c>
      <c r="J1387" s="1">
        <v>7400.04</v>
      </c>
      <c r="K1387" s="1">
        <v>5772</v>
      </c>
    </row>
    <row r="1388" spans="1:11" x14ac:dyDescent="0.35">
      <c r="A1388">
        <v>724466</v>
      </c>
      <c r="B1388">
        <v>1980576</v>
      </c>
      <c r="C1388" t="str">
        <f>"PAMPA INDEP SCHOOL DISTRICT"</f>
        <v>PAMPA INDEP SCHOOL DISTRICT</v>
      </c>
      <c r="D1388" t="s">
        <v>11</v>
      </c>
      <c r="E1388" t="s">
        <v>1144</v>
      </c>
      <c r="F1388" t="s">
        <v>1145</v>
      </c>
      <c r="G1388">
        <v>79065</v>
      </c>
      <c r="H1388">
        <v>2010</v>
      </c>
      <c r="I1388" s="1">
        <v>1739.4</v>
      </c>
      <c r="J1388" s="1">
        <v>2230</v>
      </c>
      <c r="K1388" s="1">
        <v>1739.4</v>
      </c>
    </row>
    <row r="1389" spans="1:11" x14ac:dyDescent="0.35">
      <c r="A1389">
        <v>724466</v>
      </c>
      <c r="B1389">
        <v>1980536</v>
      </c>
      <c r="C1389" t="str">
        <f>"PAMPA INDEP SCHOOL DISTRICT"</f>
        <v>PAMPA INDEP SCHOOL DISTRICT</v>
      </c>
      <c r="D1389" t="s">
        <v>11</v>
      </c>
      <c r="E1389" t="s">
        <v>1144</v>
      </c>
      <c r="F1389" t="s">
        <v>1145</v>
      </c>
      <c r="G1389">
        <v>79065</v>
      </c>
      <c r="H1389">
        <v>2010</v>
      </c>
      <c r="I1389" s="1">
        <v>5738.73</v>
      </c>
      <c r="J1389" s="1">
        <v>7357.35</v>
      </c>
      <c r="K1389" s="1">
        <v>5738.73</v>
      </c>
    </row>
    <row r="1390" spans="1:11" x14ac:dyDescent="0.35">
      <c r="A1390">
        <v>726773</v>
      </c>
      <c r="B1390">
        <v>1967710</v>
      </c>
      <c r="C1390" t="str">
        <f>"PANHANDLE INDEP SCHOOL DIST"</f>
        <v>PANHANDLE INDEP SCHOOL DIST</v>
      </c>
      <c r="D1390" t="s">
        <v>11</v>
      </c>
      <c r="E1390" t="s">
        <v>1146</v>
      </c>
      <c r="F1390" t="s">
        <v>1147</v>
      </c>
      <c r="G1390">
        <v>79068</v>
      </c>
      <c r="H1390">
        <v>2010</v>
      </c>
      <c r="I1390" s="1">
        <v>2219.98</v>
      </c>
      <c r="J1390" s="1">
        <v>3699.96</v>
      </c>
      <c r="K1390" s="1">
        <v>2219.98</v>
      </c>
    </row>
    <row r="1391" spans="1:11" x14ac:dyDescent="0.35">
      <c r="A1391">
        <v>726773</v>
      </c>
      <c r="B1391">
        <v>1967731</v>
      </c>
      <c r="C1391" t="str">
        <f>"PANHANDLE INDEP SCHOOL DIST"</f>
        <v>PANHANDLE INDEP SCHOOL DIST</v>
      </c>
      <c r="D1391" t="s">
        <v>11</v>
      </c>
      <c r="E1391" t="s">
        <v>1146</v>
      </c>
      <c r="F1391" t="s">
        <v>1147</v>
      </c>
      <c r="G1391">
        <v>79068</v>
      </c>
      <c r="H1391">
        <v>2010</v>
      </c>
      <c r="I1391" s="1">
        <v>2871</v>
      </c>
      <c r="J1391" s="1">
        <v>4785</v>
      </c>
      <c r="K1391" s="1">
        <v>2871</v>
      </c>
    </row>
    <row r="1392" spans="1:11" x14ac:dyDescent="0.35">
      <c r="A1392">
        <v>726773</v>
      </c>
      <c r="B1392">
        <v>1967692</v>
      </c>
      <c r="C1392" t="str">
        <f>"PANHANDLE INDEP SCHOOL DIST"</f>
        <v>PANHANDLE INDEP SCHOOL DIST</v>
      </c>
      <c r="D1392" t="s">
        <v>11</v>
      </c>
      <c r="E1392" t="s">
        <v>1146</v>
      </c>
      <c r="F1392" t="s">
        <v>1147</v>
      </c>
      <c r="G1392">
        <v>79068</v>
      </c>
      <c r="H1392">
        <v>2010</v>
      </c>
      <c r="I1392" s="1">
        <v>4757.9799999999996</v>
      </c>
      <c r="J1392" s="1">
        <v>7929.96</v>
      </c>
      <c r="K1392" s="1">
        <v>4757.9799999999996</v>
      </c>
    </row>
    <row r="1393" spans="1:11" x14ac:dyDescent="0.35">
      <c r="A1393">
        <v>739920</v>
      </c>
      <c r="B1393">
        <v>1998828</v>
      </c>
      <c r="C1393" t="str">
        <f>"PANTHER CREEK CONS IND SCH DST"</f>
        <v>PANTHER CREEK CONS IND SCH DST</v>
      </c>
      <c r="D1393" t="s">
        <v>11</v>
      </c>
      <c r="E1393" t="s">
        <v>1148</v>
      </c>
      <c r="F1393" t="s">
        <v>1149</v>
      </c>
      <c r="G1393">
        <v>76884</v>
      </c>
      <c r="H1393">
        <v>2010</v>
      </c>
      <c r="I1393" s="1">
        <v>0</v>
      </c>
      <c r="J1393" s="1">
        <v>0</v>
      </c>
    </row>
    <row r="1394" spans="1:11" x14ac:dyDescent="0.35">
      <c r="A1394">
        <v>743624</v>
      </c>
      <c r="B1394">
        <v>2008083</v>
      </c>
      <c r="C1394" t="str">
        <f>"PARADISE INDEP SCHOOL DISTRICT"</f>
        <v>PARADISE INDEP SCHOOL DISTRICT</v>
      </c>
      <c r="D1394" t="s">
        <v>11</v>
      </c>
      <c r="E1394" t="s">
        <v>1150</v>
      </c>
      <c r="F1394" t="s">
        <v>1151</v>
      </c>
      <c r="G1394">
        <v>76073</v>
      </c>
      <c r="H1394">
        <v>2010</v>
      </c>
      <c r="I1394" s="1">
        <v>1259.28</v>
      </c>
      <c r="J1394" s="1">
        <v>1998.85</v>
      </c>
      <c r="K1394" s="1">
        <v>1259.28</v>
      </c>
    </row>
    <row r="1395" spans="1:11" x14ac:dyDescent="0.35">
      <c r="A1395">
        <v>743624</v>
      </c>
      <c r="B1395">
        <v>2007831</v>
      </c>
      <c r="C1395" t="str">
        <f>"PARADISE INDEP SCHOOL DISTRICT"</f>
        <v>PARADISE INDEP SCHOOL DISTRICT</v>
      </c>
      <c r="D1395" t="s">
        <v>11</v>
      </c>
      <c r="E1395" t="s">
        <v>1150</v>
      </c>
      <c r="F1395" t="s">
        <v>1151</v>
      </c>
      <c r="G1395">
        <v>76073</v>
      </c>
      <c r="H1395">
        <v>2010</v>
      </c>
      <c r="I1395" s="1">
        <v>8316</v>
      </c>
      <c r="J1395" s="1">
        <v>13200</v>
      </c>
      <c r="K1395" s="1">
        <v>8316</v>
      </c>
    </row>
    <row r="1396" spans="1:11" x14ac:dyDescent="0.35">
      <c r="A1396">
        <v>746486</v>
      </c>
      <c r="B1396">
        <v>2017453</v>
      </c>
      <c r="C1396" t="str">
        <f>"PARIS INDEP SCHOOL DISTRICT"</f>
        <v>PARIS INDEP SCHOOL DISTRICT</v>
      </c>
      <c r="D1396" t="s">
        <v>11</v>
      </c>
      <c r="E1396" t="s">
        <v>1152</v>
      </c>
      <c r="F1396" t="s">
        <v>307</v>
      </c>
      <c r="G1396">
        <v>75460</v>
      </c>
      <c r="H1396">
        <v>2010</v>
      </c>
      <c r="I1396" s="1">
        <v>2652.68</v>
      </c>
      <c r="J1396" s="1">
        <v>3196</v>
      </c>
      <c r="K1396" s="1">
        <v>2652.68</v>
      </c>
    </row>
    <row r="1397" spans="1:11" x14ac:dyDescent="0.35">
      <c r="A1397">
        <v>746486</v>
      </c>
      <c r="B1397">
        <v>2017189</v>
      </c>
      <c r="C1397" t="str">
        <f>"PARIS INDEP SCHOOL DISTRICT"</f>
        <v>PARIS INDEP SCHOOL DISTRICT</v>
      </c>
      <c r="D1397" t="s">
        <v>11</v>
      </c>
      <c r="E1397" t="s">
        <v>1152</v>
      </c>
      <c r="F1397" t="s">
        <v>307</v>
      </c>
      <c r="G1397">
        <v>75460</v>
      </c>
      <c r="H1397">
        <v>2010</v>
      </c>
      <c r="I1397" s="1">
        <v>3504.23</v>
      </c>
      <c r="J1397" s="1">
        <v>4221.96</v>
      </c>
      <c r="K1397" s="1">
        <v>497.88</v>
      </c>
    </row>
    <row r="1398" spans="1:11" x14ac:dyDescent="0.35">
      <c r="A1398">
        <v>746486</v>
      </c>
      <c r="B1398">
        <v>2017368</v>
      </c>
      <c r="C1398" t="str">
        <f>"PARIS INDEP SCHOOL DISTRICT"</f>
        <v>PARIS INDEP SCHOOL DISTRICT</v>
      </c>
      <c r="D1398" t="s">
        <v>11</v>
      </c>
      <c r="E1398" t="s">
        <v>1152</v>
      </c>
      <c r="F1398" t="s">
        <v>307</v>
      </c>
      <c r="G1398">
        <v>75460</v>
      </c>
      <c r="H1398">
        <v>2010</v>
      </c>
      <c r="I1398" s="1">
        <v>397.9</v>
      </c>
      <c r="J1398" s="1">
        <v>479.4</v>
      </c>
      <c r="K1398" s="1">
        <v>397.9</v>
      </c>
    </row>
    <row r="1399" spans="1:11" x14ac:dyDescent="0.35">
      <c r="A1399">
        <v>748258</v>
      </c>
      <c r="B1399">
        <v>2039608</v>
      </c>
      <c r="C1399" t="str">
        <f t="shared" ref="C1399:C1404" si="20">"PASADENA INDEP SCHOOL DISTRICT"</f>
        <v>PASADENA INDEP SCHOOL DISTRICT</v>
      </c>
      <c r="D1399" t="s">
        <v>11</v>
      </c>
      <c r="E1399" t="s">
        <v>1153</v>
      </c>
      <c r="F1399" t="s">
        <v>1154</v>
      </c>
      <c r="G1399">
        <v>77502</v>
      </c>
      <c r="H1399">
        <v>2010</v>
      </c>
      <c r="I1399" s="1">
        <v>59528.47</v>
      </c>
      <c r="J1399" s="1">
        <v>70584.12</v>
      </c>
      <c r="K1399" s="1">
        <v>59528.47</v>
      </c>
    </row>
    <row r="1400" spans="1:11" x14ac:dyDescent="0.35">
      <c r="A1400">
        <v>748258</v>
      </c>
      <c r="B1400">
        <v>2039630</v>
      </c>
      <c r="C1400" t="str">
        <f t="shared" si="20"/>
        <v>PASADENA INDEP SCHOOL DISTRICT</v>
      </c>
      <c r="D1400" t="s">
        <v>11</v>
      </c>
      <c r="E1400" t="s">
        <v>1153</v>
      </c>
      <c r="F1400" t="s">
        <v>1154</v>
      </c>
      <c r="G1400">
        <v>77502</v>
      </c>
      <c r="H1400">
        <v>2010</v>
      </c>
      <c r="I1400" s="1">
        <v>83979</v>
      </c>
      <c r="J1400" s="1">
        <v>117180</v>
      </c>
      <c r="K1400" s="1">
        <v>83979</v>
      </c>
    </row>
    <row r="1401" spans="1:11" x14ac:dyDescent="0.35">
      <c r="A1401">
        <v>748258</v>
      </c>
      <c r="B1401">
        <v>2039552</v>
      </c>
      <c r="C1401" t="str">
        <f t="shared" si="20"/>
        <v>PASADENA INDEP SCHOOL DISTRICT</v>
      </c>
      <c r="D1401" t="s">
        <v>11</v>
      </c>
      <c r="E1401" t="s">
        <v>1153</v>
      </c>
      <c r="F1401" t="s">
        <v>1154</v>
      </c>
      <c r="G1401">
        <v>77502</v>
      </c>
      <c r="H1401">
        <v>2010</v>
      </c>
      <c r="I1401" s="1">
        <v>77670.070000000007</v>
      </c>
      <c r="J1401" s="1">
        <v>90314.04</v>
      </c>
      <c r="K1401" s="1">
        <v>77670.070000000007</v>
      </c>
    </row>
    <row r="1402" spans="1:11" x14ac:dyDescent="0.35">
      <c r="A1402">
        <v>748258</v>
      </c>
      <c r="B1402">
        <v>2042533</v>
      </c>
      <c r="C1402" t="str">
        <f t="shared" si="20"/>
        <v>PASADENA INDEP SCHOOL DISTRICT</v>
      </c>
      <c r="D1402" t="s">
        <v>11</v>
      </c>
      <c r="E1402" t="s">
        <v>1153</v>
      </c>
      <c r="F1402" t="s">
        <v>1154</v>
      </c>
      <c r="G1402">
        <v>77502</v>
      </c>
      <c r="H1402">
        <v>2010</v>
      </c>
      <c r="I1402" s="1">
        <v>18054.419999999998</v>
      </c>
      <c r="J1402" s="1">
        <v>275944.8</v>
      </c>
      <c r="K1402" s="1">
        <v>18054.419999999998</v>
      </c>
    </row>
    <row r="1403" spans="1:11" x14ac:dyDescent="0.35">
      <c r="A1403">
        <v>748258</v>
      </c>
      <c r="B1403">
        <v>2039475</v>
      </c>
      <c r="C1403" t="str">
        <f t="shared" si="20"/>
        <v>PASADENA INDEP SCHOOL DISTRICT</v>
      </c>
      <c r="D1403" t="s">
        <v>11</v>
      </c>
      <c r="E1403" t="s">
        <v>1153</v>
      </c>
      <c r="F1403" t="s">
        <v>1154</v>
      </c>
      <c r="G1403">
        <v>77502</v>
      </c>
      <c r="H1403">
        <v>2010</v>
      </c>
      <c r="I1403" s="1">
        <v>16858.32</v>
      </c>
      <c r="J1403" s="1">
        <v>30695.040000000001</v>
      </c>
      <c r="K1403" s="1">
        <v>16858.32</v>
      </c>
    </row>
    <row r="1404" spans="1:11" x14ac:dyDescent="0.35">
      <c r="A1404">
        <v>748258</v>
      </c>
      <c r="B1404">
        <v>2042461</v>
      </c>
      <c r="C1404" t="str">
        <f t="shared" si="20"/>
        <v>PASADENA INDEP SCHOOL DISTRICT</v>
      </c>
      <c r="D1404" t="s">
        <v>11</v>
      </c>
      <c r="E1404" t="s">
        <v>1153</v>
      </c>
      <c r="F1404" t="s">
        <v>1154</v>
      </c>
      <c r="G1404">
        <v>77502</v>
      </c>
      <c r="H1404">
        <v>2010</v>
      </c>
      <c r="I1404" s="1">
        <v>31754.36</v>
      </c>
      <c r="J1404" s="1">
        <v>71542.080000000002</v>
      </c>
      <c r="K1404" s="1">
        <v>31754.36</v>
      </c>
    </row>
    <row r="1405" spans="1:11" x14ac:dyDescent="0.35">
      <c r="A1405">
        <v>720291</v>
      </c>
      <c r="B1405">
        <v>1954539</v>
      </c>
      <c r="C1405" t="str">
        <f>"PEARLAND IND. SCHOOL DISTRICT"</f>
        <v>PEARLAND IND. SCHOOL DISTRICT</v>
      </c>
      <c r="D1405" t="s">
        <v>11</v>
      </c>
      <c r="E1405" t="s">
        <v>1155</v>
      </c>
      <c r="F1405" t="s">
        <v>1156</v>
      </c>
      <c r="G1405">
        <v>77581</v>
      </c>
      <c r="H1405">
        <v>2010</v>
      </c>
      <c r="I1405" s="1">
        <v>10584</v>
      </c>
      <c r="J1405" s="1">
        <v>21600</v>
      </c>
      <c r="K1405" s="1">
        <v>10584</v>
      </c>
    </row>
    <row r="1406" spans="1:11" x14ac:dyDescent="0.35">
      <c r="A1406">
        <v>748543</v>
      </c>
      <c r="B1406">
        <v>2021150</v>
      </c>
      <c r="C1406" t="str">
        <f>"PEARSALL  ADMINISTRATION BUILDING"</f>
        <v>PEARSALL  ADMINISTRATION BUILDING</v>
      </c>
      <c r="D1406" t="s">
        <v>11</v>
      </c>
      <c r="E1406" t="s">
        <v>1157</v>
      </c>
      <c r="F1406" t="s">
        <v>1158</v>
      </c>
      <c r="G1406">
        <v>78061</v>
      </c>
      <c r="H1406">
        <v>2010</v>
      </c>
      <c r="I1406" s="1">
        <v>15372</v>
      </c>
      <c r="J1406" s="1">
        <v>17080</v>
      </c>
      <c r="K1406" s="1">
        <v>15372</v>
      </c>
    </row>
    <row r="1407" spans="1:11" x14ac:dyDescent="0.35">
      <c r="A1407">
        <v>743648</v>
      </c>
      <c r="B1407">
        <v>2007952</v>
      </c>
      <c r="C1407" t="str">
        <f>"PEASTER INDEP SCHOOL DISTRICT"</f>
        <v>PEASTER INDEP SCHOOL DISTRICT</v>
      </c>
      <c r="D1407" t="s">
        <v>11</v>
      </c>
      <c r="E1407" t="s">
        <v>1159</v>
      </c>
      <c r="F1407" t="s">
        <v>1160</v>
      </c>
      <c r="G1407">
        <v>76485</v>
      </c>
      <c r="H1407">
        <v>2010</v>
      </c>
      <c r="I1407" s="1">
        <v>6345</v>
      </c>
      <c r="J1407" s="1">
        <v>14100</v>
      </c>
      <c r="K1407" s="1">
        <v>5283.62</v>
      </c>
    </row>
    <row r="1408" spans="1:11" x14ac:dyDescent="0.35">
      <c r="A1408">
        <v>743648</v>
      </c>
      <c r="B1408">
        <v>2018488</v>
      </c>
      <c r="C1408" t="str">
        <f>"PEASTER INDEP SCHOOL DISTRICT"</f>
        <v>PEASTER INDEP SCHOOL DISTRICT</v>
      </c>
      <c r="D1408" t="s">
        <v>11</v>
      </c>
      <c r="E1408" t="s">
        <v>1159</v>
      </c>
      <c r="F1408" t="s">
        <v>1160</v>
      </c>
      <c r="G1408">
        <v>76485</v>
      </c>
      <c r="H1408">
        <v>2010</v>
      </c>
      <c r="I1408" s="1">
        <v>899.48</v>
      </c>
      <c r="J1408" s="1">
        <v>1998.84</v>
      </c>
      <c r="K1408" s="1">
        <v>899.48</v>
      </c>
    </row>
    <row r="1409" spans="1:11" x14ac:dyDescent="0.35">
      <c r="A1409">
        <v>743648</v>
      </c>
      <c r="B1409">
        <v>2018560</v>
      </c>
      <c r="C1409" t="str">
        <f>"PEASTER INDEP SCHOOL DISTRICT"</f>
        <v>PEASTER INDEP SCHOOL DISTRICT</v>
      </c>
      <c r="D1409" t="s">
        <v>11</v>
      </c>
      <c r="E1409" t="s">
        <v>1159</v>
      </c>
      <c r="F1409" t="s">
        <v>1160</v>
      </c>
      <c r="G1409">
        <v>76485</v>
      </c>
      <c r="H1409">
        <v>2010</v>
      </c>
      <c r="I1409" s="1">
        <v>1471.5</v>
      </c>
      <c r="J1409" s="1">
        <v>3270</v>
      </c>
      <c r="K1409" s="1">
        <v>1471.5</v>
      </c>
    </row>
    <row r="1410" spans="1:11" x14ac:dyDescent="0.35">
      <c r="A1410">
        <v>743648</v>
      </c>
      <c r="B1410">
        <v>2018341</v>
      </c>
      <c r="C1410" t="str">
        <f>"PEASTER INDEP SCHOOL DISTRICT"</f>
        <v>PEASTER INDEP SCHOOL DISTRICT</v>
      </c>
      <c r="D1410" t="s">
        <v>11</v>
      </c>
      <c r="E1410" t="s">
        <v>1159</v>
      </c>
      <c r="F1410" t="s">
        <v>1160</v>
      </c>
      <c r="G1410">
        <v>76485</v>
      </c>
      <c r="H1410">
        <v>2010</v>
      </c>
      <c r="I1410" s="1">
        <v>2970</v>
      </c>
      <c r="J1410" s="1">
        <v>6600</v>
      </c>
      <c r="K1410" s="1">
        <v>2970</v>
      </c>
    </row>
    <row r="1411" spans="1:11" x14ac:dyDescent="0.35">
      <c r="A1411">
        <v>743648</v>
      </c>
      <c r="B1411">
        <v>2018384</v>
      </c>
      <c r="C1411" t="str">
        <f>"PEASTER INDEP SCHOOL DISTRICT"</f>
        <v>PEASTER INDEP SCHOOL DISTRICT</v>
      </c>
      <c r="D1411" t="s">
        <v>11</v>
      </c>
      <c r="E1411" t="s">
        <v>1159</v>
      </c>
      <c r="F1411" t="s">
        <v>1160</v>
      </c>
      <c r="G1411">
        <v>76485</v>
      </c>
      <c r="H1411">
        <v>2010</v>
      </c>
      <c r="I1411" s="1">
        <v>540</v>
      </c>
      <c r="J1411" s="1">
        <v>1200</v>
      </c>
      <c r="K1411" s="1">
        <v>540</v>
      </c>
    </row>
    <row r="1412" spans="1:11" x14ac:dyDescent="0.35">
      <c r="A1412">
        <v>731672</v>
      </c>
      <c r="B1412">
        <v>1979317</v>
      </c>
      <c r="C1412" t="str">
        <f>"PECOS-BARSTOW-TOYAH I S D"</f>
        <v>PECOS-BARSTOW-TOYAH I S D</v>
      </c>
      <c r="D1412" t="s">
        <v>11</v>
      </c>
      <c r="E1412" t="s">
        <v>1161</v>
      </c>
      <c r="F1412" t="s">
        <v>1162</v>
      </c>
      <c r="G1412">
        <v>79772</v>
      </c>
      <c r="H1412">
        <v>2010</v>
      </c>
      <c r="I1412" s="1">
        <v>3610.5</v>
      </c>
      <c r="J1412" s="1">
        <v>4350</v>
      </c>
      <c r="K1412" s="1">
        <v>3610.5</v>
      </c>
    </row>
    <row r="1413" spans="1:11" x14ac:dyDescent="0.35">
      <c r="A1413">
        <v>730746</v>
      </c>
      <c r="B1413">
        <v>1997209</v>
      </c>
      <c r="C1413" t="str">
        <f>"PENELOPE INDEP SCHOOL DISTRICT"</f>
        <v>PENELOPE INDEP SCHOOL DISTRICT</v>
      </c>
      <c r="D1413" t="s">
        <v>11</v>
      </c>
      <c r="E1413" t="s">
        <v>1163</v>
      </c>
      <c r="F1413" t="s">
        <v>1164</v>
      </c>
      <c r="G1413">
        <v>76676</v>
      </c>
      <c r="H1413">
        <v>2010</v>
      </c>
      <c r="I1413" s="1">
        <v>17040</v>
      </c>
      <c r="J1413" s="1">
        <v>21300</v>
      </c>
      <c r="K1413" s="1">
        <v>17040</v>
      </c>
    </row>
    <row r="1414" spans="1:11" x14ac:dyDescent="0.35">
      <c r="A1414">
        <v>753282</v>
      </c>
      <c r="B1414">
        <v>2035653</v>
      </c>
      <c r="C1414" t="str">
        <f>"PERRIN-WHITT CONS IND SCH DIST"</f>
        <v>PERRIN-WHITT CONS IND SCH DIST</v>
      </c>
      <c r="D1414" t="s">
        <v>11</v>
      </c>
      <c r="E1414" t="s">
        <v>1165</v>
      </c>
      <c r="F1414" t="s">
        <v>1166</v>
      </c>
      <c r="G1414">
        <v>76486</v>
      </c>
      <c r="H1414">
        <v>2010</v>
      </c>
      <c r="I1414" s="1">
        <v>0</v>
      </c>
      <c r="J1414" s="1">
        <v>0</v>
      </c>
    </row>
    <row r="1415" spans="1:11" x14ac:dyDescent="0.35">
      <c r="A1415">
        <v>716527</v>
      </c>
      <c r="B1415">
        <v>2011899</v>
      </c>
      <c r="C1415" t="str">
        <f>"PERRYTON INDEP SCHOOL DIST"</f>
        <v>PERRYTON INDEP SCHOOL DIST</v>
      </c>
      <c r="D1415" t="s">
        <v>11</v>
      </c>
      <c r="E1415" t="s">
        <v>1167</v>
      </c>
      <c r="F1415" t="s">
        <v>1168</v>
      </c>
      <c r="G1415">
        <v>79070</v>
      </c>
      <c r="H1415">
        <v>2010</v>
      </c>
      <c r="I1415" s="1">
        <v>7380</v>
      </c>
      <c r="J1415" s="1">
        <v>9000</v>
      </c>
      <c r="K1415" s="1">
        <v>7380</v>
      </c>
    </row>
    <row r="1416" spans="1:11" x14ac:dyDescent="0.35">
      <c r="A1416">
        <v>724058</v>
      </c>
      <c r="B1416">
        <v>1963293</v>
      </c>
      <c r="C1416" t="str">
        <f>"PETERSBURG INDEP SCHOOL DIST"</f>
        <v>PETERSBURG INDEP SCHOOL DIST</v>
      </c>
      <c r="D1416" t="s">
        <v>11</v>
      </c>
      <c r="E1416" t="s">
        <v>1169</v>
      </c>
      <c r="F1416" t="s">
        <v>1170</v>
      </c>
      <c r="G1416">
        <v>79250</v>
      </c>
      <c r="H1416">
        <v>2010</v>
      </c>
      <c r="I1416" s="1">
        <v>6192</v>
      </c>
      <c r="J1416" s="1">
        <v>7200</v>
      </c>
      <c r="K1416" s="1">
        <v>5934</v>
      </c>
    </row>
    <row r="1417" spans="1:11" x14ac:dyDescent="0.35">
      <c r="A1417">
        <v>724058</v>
      </c>
      <c r="B1417">
        <v>1964408</v>
      </c>
      <c r="C1417" t="str">
        <f>"PETERSBURG INDEP SCHOOL DIST"</f>
        <v>PETERSBURG INDEP SCHOOL DIST</v>
      </c>
      <c r="D1417" t="s">
        <v>11</v>
      </c>
      <c r="E1417" t="s">
        <v>1169</v>
      </c>
      <c r="F1417" t="s">
        <v>1170</v>
      </c>
      <c r="G1417">
        <v>79250</v>
      </c>
      <c r="H1417">
        <v>2010</v>
      </c>
      <c r="I1417" s="1">
        <v>1358.22</v>
      </c>
      <c r="J1417" s="1">
        <v>1579.32</v>
      </c>
      <c r="K1417" s="1">
        <v>1358.22</v>
      </c>
    </row>
    <row r="1418" spans="1:11" x14ac:dyDescent="0.35">
      <c r="A1418">
        <v>724049</v>
      </c>
      <c r="B1418">
        <v>1961662</v>
      </c>
      <c r="C1418" t="str">
        <f>"PETROLIA INDEP SCHOOL DISTRICT"</f>
        <v>PETROLIA INDEP SCHOOL DISTRICT</v>
      </c>
      <c r="D1418" t="s">
        <v>11</v>
      </c>
      <c r="E1418" t="s">
        <v>1171</v>
      </c>
      <c r="F1418" t="s">
        <v>1172</v>
      </c>
      <c r="G1418">
        <v>76377</v>
      </c>
      <c r="H1418">
        <v>2010</v>
      </c>
      <c r="I1418" s="1">
        <v>3996</v>
      </c>
      <c r="J1418" s="1">
        <v>5400</v>
      </c>
      <c r="K1418" s="1">
        <v>3944.05</v>
      </c>
    </row>
    <row r="1419" spans="1:11" x14ac:dyDescent="0.35">
      <c r="A1419">
        <v>724049</v>
      </c>
      <c r="B1419">
        <v>1961747</v>
      </c>
      <c r="C1419" t="str">
        <f>"PETROLIA INDEP SCHOOL DISTRICT"</f>
        <v>PETROLIA INDEP SCHOOL DISTRICT</v>
      </c>
      <c r="D1419" t="s">
        <v>11</v>
      </c>
      <c r="E1419" t="s">
        <v>1171</v>
      </c>
      <c r="F1419" t="s">
        <v>1172</v>
      </c>
      <c r="G1419">
        <v>76377</v>
      </c>
      <c r="H1419">
        <v>2010</v>
      </c>
      <c r="I1419" s="1">
        <v>2886</v>
      </c>
      <c r="J1419" s="1">
        <v>3900</v>
      </c>
      <c r="K1419" s="1">
        <v>2654.34</v>
      </c>
    </row>
    <row r="1420" spans="1:11" x14ac:dyDescent="0.35">
      <c r="A1420">
        <v>724049</v>
      </c>
      <c r="B1420">
        <v>1961666</v>
      </c>
      <c r="C1420" t="str">
        <f>"PETROLIA INDEP SCHOOL DISTRICT"</f>
        <v>PETROLIA INDEP SCHOOL DISTRICT</v>
      </c>
      <c r="D1420" t="s">
        <v>11</v>
      </c>
      <c r="E1420" t="s">
        <v>1171</v>
      </c>
      <c r="F1420" t="s">
        <v>1172</v>
      </c>
      <c r="G1420">
        <v>76377</v>
      </c>
      <c r="H1420">
        <v>2010</v>
      </c>
      <c r="I1420" s="1">
        <v>1776</v>
      </c>
      <c r="J1420" s="1">
        <v>2400</v>
      </c>
      <c r="K1420" s="1">
        <v>1098.01</v>
      </c>
    </row>
    <row r="1421" spans="1:11" x14ac:dyDescent="0.35">
      <c r="A1421">
        <v>745725</v>
      </c>
      <c r="B1421">
        <v>2012639</v>
      </c>
      <c r="C1421" t="str">
        <f>"PETTUS INDEP SCHOOL DISTRICT"</f>
        <v>PETTUS INDEP SCHOOL DISTRICT</v>
      </c>
      <c r="D1421" t="s">
        <v>11</v>
      </c>
      <c r="E1421" t="s">
        <v>1173</v>
      </c>
      <c r="F1421" t="s">
        <v>1174</v>
      </c>
      <c r="G1421">
        <v>78146</v>
      </c>
      <c r="H1421">
        <v>2010</v>
      </c>
      <c r="I1421" s="1">
        <v>13655.78</v>
      </c>
      <c r="J1421" s="1">
        <v>16256.88</v>
      </c>
      <c r="K1421" s="1">
        <v>13655.78</v>
      </c>
    </row>
    <row r="1422" spans="1:11" x14ac:dyDescent="0.35">
      <c r="A1422">
        <v>719980</v>
      </c>
      <c r="B1422">
        <v>2009264</v>
      </c>
      <c r="C1422" t="str">
        <f>"PFLUGERVILLE INDEP SCHOOL DIST"</f>
        <v>PFLUGERVILLE INDEP SCHOOL DIST</v>
      </c>
      <c r="D1422" t="s">
        <v>11</v>
      </c>
      <c r="E1422" t="s">
        <v>1175</v>
      </c>
      <c r="F1422" t="s">
        <v>1176</v>
      </c>
      <c r="G1422">
        <v>78660</v>
      </c>
      <c r="H1422">
        <v>2010</v>
      </c>
      <c r="I1422" s="1">
        <v>34224</v>
      </c>
      <c r="J1422" s="1">
        <v>49600</v>
      </c>
      <c r="K1422" s="1">
        <v>34224</v>
      </c>
    </row>
    <row r="1423" spans="1:11" x14ac:dyDescent="0.35">
      <c r="A1423">
        <v>719980</v>
      </c>
      <c r="B1423">
        <v>2032985</v>
      </c>
      <c r="C1423" t="str">
        <f>"PFLUGERVILLE INDEP SCHOOL DIST"</f>
        <v>PFLUGERVILLE INDEP SCHOOL DIST</v>
      </c>
      <c r="D1423" t="s">
        <v>11</v>
      </c>
      <c r="E1423" t="s">
        <v>1175</v>
      </c>
      <c r="F1423" t="s">
        <v>1176</v>
      </c>
      <c r="G1423">
        <v>78660</v>
      </c>
      <c r="H1423">
        <v>2010</v>
      </c>
      <c r="I1423" s="1">
        <v>8280</v>
      </c>
      <c r="J1423" s="1">
        <v>12000</v>
      </c>
      <c r="K1423" s="1">
        <v>4372.46</v>
      </c>
    </row>
    <row r="1424" spans="1:11" x14ac:dyDescent="0.35">
      <c r="A1424">
        <v>768284</v>
      </c>
      <c r="B1424">
        <v>2077803</v>
      </c>
      <c r="C1424" t="str">
        <f>"PHARR-SAN JUAN-ALAMO I S D"</f>
        <v>PHARR-SAN JUAN-ALAMO I S D</v>
      </c>
      <c r="D1424" t="s">
        <v>11</v>
      </c>
      <c r="E1424" t="s">
        <v>1177</v>
      </c>
      <c r="F1424" t="s">
        <v>1178</v>
      </c>
      <c r="G1424">
        <v>78577</v>
      </c>
      <c r="H1424">
        <v>2010</v>
      </c>
      <c r="I1424" s="1">
        <v>27149.81</v>
      </c>
      <c r="J1424" s="1">
        <v>30166.46</v>
      </c>
    </row>
    <row r="1425" spans="1:11" x14ac:dyDescent="0.35">
      <c r="A1425">
        <v>767746</v>
      </c>
      <c r="B1425">
        <v>2076141</v>
      </c>
      <c r="C1425" t="str">
        <f>"PHARR-SAN JUAN-ALAMO I S D"</f>
        <v>PHARR-SAN JUAN-ALAMO I S D</v>
      </c>
      <c r="D1425" t="s">
        <v>11</v>
      </c>
      <c r="E1425" t="s">
        <v>1177</v>
      </c>
      <c r="F1425" t="s">
        <v>1178</v>
      </c>
      <c r="G1425">
        <v>78577</v>
      </c>
      <c r="H1425">
        <v>2010</v>
      </c>
      <c r="I1425" s="1">
        <v>0</v>
      </c>
      <c r="J1425" s="1">
        <v>0</v>
      </c>
    </row>
    <row r="1426" spans="1:11" x14ac:dyDescent="0.35">
      <c r="A1426">
        <v>767746</v>
      </c>
      <c r="B1426">
        <v>2076361</v>
      </c>
      <c r="C1426" t="str">
        <f>"PHARR-SAN JUAN-ALAMO I S D"</f>
        <v>PHARR-SAN JUAN-ALAMO I S D</v>
      </c>
      <c r="D1426" t="s">
        <v>11</v>
      </c>
      <c r="E1426" t="s">
        <v>1177</v>
      </c>
      <c r="F1426" t="s">
        <v>1178</v>
      </c>
      <c r="G1426">
        <v>78577</v>
      </c>
      <c r="H1426">
        <v>2010</v>
      </c>
      <c r="I1426" s="1">
        <v>22638.53</v>
      </c>
      <c r="J1426" s="1">
        <v>25153.919999999998</v>
      </c>
    </row>
    <row r="1427" spans="1:11" x14ac:dyDescent="0.35">
      <c r="A1427">
        <v>730513</v>
      </c>
      <c r="B1427">
        <v>1975665</v>
      </c>
      <c r="C1427" t="str">
        <f>"PILOT POINT SCHOOL DISTRICT"</f>
        <v>PILOT POINT SCHOOL DISTRICT</v>
      </c>
      <c r="D1427" t="s">
        <v>11</v>
      </c>
      <c r="E1427" t="s">
        <v>1179</v>
      </c>
      <c r="F1427" t="s">
        <v>1180</v>
      </c>
      <c r="G1427">
        <v>76258</v>
      </c>
      <c r="H1427">
        <v>2010</v>
      </c>
      <c r="I1427" s="1">
        <v>11424</v>
      </c>
      <c r="J1427" s="1">
        <v>16800</v>
      </c>
      <c r="K1427" s="1">
        <v>11424</v>
      </c>
    </row>
    <row r="1428" spans="1:11" x14ac:dyDescent="0.35">
      <c r="A1428">
        <v>708623</v>
      </c>
      <c r="B1428">
        <v>1937294</v>
      </c>
      <c r="C1428" t="str">
        <f>"PILOT POINT SCHOOL DISTRICT"</f>
        <v>PILOT POINT SCHOOL DISTRICT</v>
      </c>
      <c r="D1428" t="s">
        <v>11</v>
      </c>
      <c r="E1428" t="s">
        <v>1179</v>
      </c>
      <c r="F1428" t="s">
        <v>1180</v>
      </c>
      <c r="G1428">
        <v>76258</v>
      </c>
      <c r="H1428">
        <v>2010</v>
      </c>
      <c r="I1428" s="1">
        <v>1530</v>
      </c>
      <c r="J1428" s="1">
        <v>2250</v>
      </c>
      <c r="K1428" s="1">
        <v>1530</v>
      </c>
    </row>
    <row r="1429" spans="1:11" x14ac:dyDescent="0.35">
      <c r="A1429">
        <v>708623</v>
      </c>
      <c r="B1429">
        <v>1937292</v>
      </c>
      <c r="C1429" t="str">
        <f>"PILOT POINT SCHOOL DISTRICT"</f>
        <v>PILOT POINT SCHOOL DISTRICT</v>
      </c>
      <c r="D1429" t="s">
        <v>11</v>
      </c>
      <c r="E1429" t="s">
        <v>1179</v>
      </c>
      <c r="F1429" t="s">
        <v>1180</v>
      </c>
      <c r="G1429">
        <v>76258</v>
      </c>
      <c r="H1429">
        <v>2010</v>
      </c>
      <c r="I1429" s="1">
        <v>816</v>
      </c>
      <c r="J1429" s="1">
        <v>1200</v>
      </c>
      <c r="K1429" s="1">
        <v>816</v>
      </c>
    </row>
    <row r="1430" spans="1:11" x14ac:dyDescent="0.35">
      <c r="A1430">
        <v>730513</v>
      </c>
      <c r="B1430">
        <v>1975669</v>
      </c>
      <c r="C1430" t="str">
        <f>"PILOT POINT SCHOOL DISTRICT"</f>
        <v>PILOT POINT SCHOOL DISTRICT</v>
      </c>
      <c r="D1430" t="s">
        <v>11</v>
      </c>
      <c r="E1430" t="s">
        <v>1179</v>
      </c>
      <c r="F1430" t="s">
        <v>1180</v>
      </c>
      <c r="G1430">
        <v>76258</v>
      </c>
      <c r="H1430">
        <v>2010</v>
      </c>
      <c r="I1430" s="1">
        <v>1359.22</v>
      </c>
      <c r="J1430" s="1">
        <v>1998.85</v>
      </c>
      <c r="K1430" s="1">
        <v>1359.22</v>
      </c>
    </row>
    <row r="1431" spans="1:11" x14ac:dyDescent="0.35">
      <c r="A1431">
        <v>724478</v>
      </c>
      <c r="B1431">
        <v>2008101</v>
      </c>
      <c r="C1431" t="str">
        <f>"PINE TREE INDEP SCHOOL DIST"</f>
        <v>PINE TREE INDEP SCHOOL DIST</v>
      </c>
      <c r="D1431" t="s">
        <v>11</v>
      </c>
      <c r="E1431" t="s">
        <v>1181</v>
      </c>
      <c r="F1431" t="s">
        <v>923</v>
      </c>
      <c r="G1431">
        <v>75608</v>
      </c>
      <c r="H1431">
        <v>2010</v>
      </c>
      <c r="I1431" s="1">
        <v>50895.6</v>
      </c>
      <c r="J1431" s="1">
        <v>69720</v>
      </c>
      <c r="K1431" s="1">
        <v>44892.72</v>
      </c>
    </row>
    <row r="1432" spans="1:11" x14ac:dyDescent="0.35">
      <c r="A1432">
        <v>724478</v>
      </c>
      <c r="B1432">
        <v>2008231</v>
      </c>
      <c r="C1432" t="str">
        <f>"PINE TREE INDEP SCHOOL DIST"</f>
        <v>PINE TREE INDEP SCHOOL DIST</v>
      </c>
      <c r="D1432" t="s">
        <v>11</v>
      </c>
      <c r="E1432" t="s">
        <v>1181</v>
      </c>
      <c r="F1432" t="s">
        <v>923</v>
      </c>
      <c r="G1432">
        <v>75608</v>
      </c>
      <c r="H1432">
        <v>2010</v>
      </c>
      <c r="I1432" s="1">
        <v>32478.58</v>
      </c>
      <c r="J1432" s="1">
        <v>44491.199999999997</v>
      </c>
      <c r="K1432" s="1">
        <v>32478.58</v>
      </c>
    </row>
    <row r="1433" spans="1:11" x14ac:dyDescent="0.35">
      <c r="A1433">
        <v>724478</v>
      </c>
      <c r="B1433">
        <v>2008149</v>
      </c>
      <c r="C1433" t="str">
        <f>"PINE TREE INDEP SCHOOL DIST"</f>
        <v>PINE TREE INDEP SCHOOL DIST</v>
      </c>
      <c r="D1433" t="s">
        <v>11</v>
      </c>
      <c r="E1433" t="s">
        <v>1181</v>
      </c>
      <c r="F1433" t="s">
        <v>923</v>
      </c>
      <c r="G1433">
        <v>75608</v>
      </c>
      <c r="H1433">
        <v>2010</v>
      </c>
      <c r="I1433" s="1">
        <v>6683.88</v>
      </c>
      <c r="J1433" s="1">
        <v>9156</v>
      </c>
      <c r="K1433" s="1">
        <v>6683.88</v>
      </c>
    </row>
    <row r="1434" spans="1:11" x14ac:dyDescent="0.35">
      <c r="A1434">
        <v>736352</v>
      </c>
      <c r="B1434">
        <v>1989677</v>
      </c>
      <c r="C1434" t="str">
        <f>"PLAINS INDEP SCHOOL DISTRICT"</f>
        <v>PLAINS INDEP SCHOOL DISTRICT</v>
      </c>
      <c r="D1434" t="s">
        <v>11</v>
      </c>
      <c r="E1434" t="s">
        <v>1182</v>
      </c>
      <c r="F1434" t="s">
        <v>1183</v>
      </c>
      <c r="G1434">
        <v>79355</v>
      </c>
      <c r="H1434">
        <v>2010</v>
      </c>
      <c r="I1434" s="1">
        <v>1061.57</v>
      </c>
      <c r="J1434" s="1">
        <v>1326.96</v>
      </c>
      <c r="K1434" s="1">
        <v>1061.57</v>
      </c>
    </row>
    <row r="1435" spans="1:11" x14ac:dyDescent="0.35">
      <c r="A1435">
        <v>736352</v>
      </c>
      <c r="B1435">
        <v>1989657</v>
      </c>
      <c r="C1435" t="str">
        <f>"PLAINS INDEP SCHOOL DISTRICT"</f>
        <v>PLAINS INDEP SCHOOL DISTRICT</v>
      </c>
      <c r="D1435" t="s">
        <v>11</v>
      </c>
      <c r="E1435" t="s">
        <v>1182</v>
      </c>
      <c r="F1435" t="s">
        <v>1183</v>
      </c>
      <c r="G1435">
        <v>79355</v>
      </c>
      <c r="H1435">
        <v>2010</v>
      </c>
      <c r="I1435" s="1">
        <v>6000</v>
      </c>
      <c r="J1435" s="1">
        <v>7500</v>
      </c>
      <c r="K1435" s="1">
        <v>6000</v>
      </c>
    </row>
    <row r="1436" spans="1:11" x14ac:dyDescent="0.35">
      <c r="A1436">
        <v>732514</v>
      </c>
      <c r="B1436">
        <v>1981013</v>
      </c>
      <c r="C1436" t="str">
        <f>"PLAINVIEW INDEP SCHOOL DIST"</f>
        <v>PLAINVIEW INDEP SCHOOL DIST</v>
      </c>
      <c r="D1436" t="s">
        <v>11</v>
      </c>
      <c r="E1436" t="s">
        <v>1184</v>
      </c>
      <c r="F1436" t="s">
        <v>1185</v>
      </c>
      <c r="G1436">
        <v>79072</v>
      </c>
      <c r="H1436">
        <v>2010</v>
      </c>
      <c r="I1436" s="1">
        <v>7644</v>
      </c>
      <c r="J1436" s="1">
        <v>9100</v>
      </c>
      <c r="K1436" s="1">
        <v>7644</v>
      </c>
    </row>
    <row r="1437" spans="1:11" x14ac:dyDescent="0.35">
      <c r="A1437">
        <v>735846</v>
      </c>
      <c r="B1437">
        <v>1988601</v>
      </c>
      <c r="C1437" t="str">
        <f>"PLAINVIEW INDEP SCHOOL DIST"</f>
        <v>PLAINVIEW INDEP SCHOOL DIST</v>
      </c>
      <c r="D1437" t="s">
        <v>11</v>
      </c>
      <c r="E1437" t="s">
        <v>1184</v>
      </c>
      <c r="F1437" t="s">
        <v>1185</v>
      </c>
      <c r="G1437">
        <v>79072</v>
      </c>
      <c r="H1437">
        <v>2010</v>
      </c>
      <c r="I1437" s="1">
        <v>40944.959999999999</v>
      </c>
      <c r="J1437" s="1">
        <v>48744</v>
      </c>
      <c r="K1437" s="1">
        <v>40944.959999999999</v>
      </c>
    </row>
    <row r="1438" spans="1:11" x14ac:dyDescent="0.35">
      <c r="A1438">
        <v>735846</v>
      </c>
      <c r="B1438">
        <v>1988569</v>
      </c>
      <c r="C1438" t="str">
        <f>"PLAINVIEW INDEP SCHOOL DIST"</f>
        <v>PLAINVIEW INDEP SCHOOL DIST</v>
      </c>
      <c r="D1438" t="s">
        <v>11</v>
      </c>
      <c r="E1438" t="s">
        <v>1184</v>
      </c>
      <c r="F1438" t="s">
        <v>1185</v>
      </c>
      <c r="G1438">
        <v>79072</v>
      </c>
      <c r="H1438">
        <v>2010</v>
      </c>
      <c r="I1438" s="1">
        <v>4142.88</v>
      </c>
      <c r="J1438" s="1">
        <v>4932</v>
      </c>
      <c r="K1438" s="1">
        <v>4142.88</v>
      </c>
    </row>
    <row r="1439" spans="1:11" x14ac:dyDescent="0.35">
      <c r="A1439">
        <v>719984</v>
      </c>
      <c r="B1439">
        <v>1981812</v>
      </c>
      <c r="C1439" t="str">
        <f>"PLANO INDEP SCHOOL DISTRICT"</f>
        <v>PLANO INDEP SCHOOL DISTRICT</v>
      </c>
      <c r="D1439" t="s">
        <v>11</v>
      </c>
      <c r="E1439" t="s">
        <v>1186</v>
      </c>
      <c r="F1439" t="s">
        <v>1187</v>
      </c>
      <c r="G1439">
        <v>75075</v>
      </c>
      <c r="H1439">
        <v>2010</v>
      </c>
      <c r="I1439" s="1">
        <v>26753.71</v>
      </c>
      <c r="J1439" s="1">
        <v>54599.4</v>
      </c>
      <c r="K1439" s="1">
        <v>26753.71</v>
      </c>
    </row>
    <row r="1440" spans="1:11" x14ac:dyDescent="0.35">
      <c r="A1440">
        <v>719984</v>
      </c>
      <c r="B1440">
        <v>1981828</v>
      </c>
      <c r="C1440" t="str">
        <f>"PLANO INDEP SCHOOL DISTRICT"</f>
        <v>PLANO INDEP SCHOOL DISTRICT</v>
      </c>
      <c r="D1440" t="s">
        <v>11</v>
      </c>
      <c r="E1440" t="s">
        <v>1186</v>
      </c>
      <c r="F1440" t="s">
        <v>1187</v>
      </c>
      <c r="G1440">
        <v>75075</v>
      </c>
      <c r="H1440">
        <v>2010</v>
      </c>
      <c r="I1440" s="1">
        <v>28282.799999999999</v>
      </c>
      <c r="J1440" s="1">
        <v>57720</v>
      </c>
      <c r="K1440" s="1">
        <v>28282.799999999999</v>
      </c>
    </row>
    <row r="1441" spans="1:11" x14ac:dyDescent="0.35">
      <c r="A1441">
        <v>719984</v>
      </c>
      <c r="B1441">
        <v>1981845</v>
      </c>
      <c r="C1441" t="str">
        <f>"PLANO INDEP SCHOOL DISTRICT"</f>
        <v>PLANO INDEP SCHOOL DISTRICT</v>
      </c>
      <c r="D1441" t="s">
        <v>11</v>
      </c>
      <c r="E1441" t="s">
        <v>1186</v>
      </c>
      <c r="F1441" t="s">
        <v>1187</v>
      </c>
      <c r="G1441">
        <v>75075</v>
      </c>
      <c r="H1441">
        <v>2010</v>
      </c>
      <c r="I1441" s="1">
        <v>11589.48</v>
      </c>
      <c r="J1441" s="1">
        <v>23652</v>
      </c>
      <c r="K1441" s="1">
        <v>11589.48</v>
      </c>
    </row>
    <row r="1442" spans="1:11" x14ac:dyDescent="0.35">
      <c r="A1442">
        <v>719984</v>
      </c>
      <c r="B1442">
        <v>2005996</v>
      </c>
      <c r="C1442" t="str">
        <f>"PLANO INDEP SCHOOL DISTRICT"</f>
        <v>PLANO INDEP SCHOOL DISTRICT</v>
      </c>
      <c r="D1442" t="s">
        <v>11</v>
      </c>
      <c r="E1442" t="s">
        <v>1186</v>
      </c>
      <c r="F1442" t="s">
        <v>1187</v>
      </c>
      <c r="G1442">
        <v>75075</v>
      </c>
      <c r="H1442">
        <v>2010</v>
      </c>
      <c r="I1442" s="1">
        <v>19918.5</v>
      </c>
      <c r="J1442" s="1">
        <v>40650</v>
      </c>
      <c r="K1442" s="1">
        <v>18198.77</v>
      </c>
    </row>
    <row r="1443" spans="1:11" x14ac:dyDescent="0.35">
      <c r="A1443">
        <v>751322</v>
      </c>
      <c r="B1443">
        <v>2031129</v>
      </c>
      <c r="C1443" t="str">
        <f>"PLEASANTON INDEP SCHOOL DIST"</f>
        <v>PLEASANTON INDEP SCHOOL DIST</v>
      </c>
      <c r="D1443" t="s">
        <v>11</v>
      </c>
      <c r="E1443" t="s">
        <v>1188</v>
      </c>
      <c r="F1443" t="s">
        <v>1189</v>
      </c>
      <c r="G1443">
        <v>78064</v>
      </c>
      <c r="H1443">
        <v>2010</v>
      </c>
      <c r="I1443" s="1">
        <v>18394.13</v>
      </c>
      <c r="J1443" s="1">
        <v>22708.799999999999</v>
      </c>
      <c r="K1443" s="1">
        <v>18394.13</v>
      </c>
    </row>
    <row r="1444" spans="1:11" x14ac:dyDescent="0.35">
      <c r="A1444">
        <v>741662</v>
      </c>
      <c r="B1444">
        <v>2003578</v>
      </c>
      <c r="C1444" t="str">
        <f>"PLEMONS-STINNETT-PHILLIPS CISD"</f>
        <v>PLEMONS-STINNETT-PHILLIPS CISD</v>
      </c>
      <c r="D1444" t="s">
        <v>11</v>
      </c>
      <c r="E1444" t="s">
        <v>1190</v>
      </c>
      <c r="F1444" t="s">
        <v>1191</v>
      </c>
      <c r="G1444">
        <v>79083</v>
      </c>
      <c r="H1444">
        <v>2010</v>
      </c>
      <c r="I1444" s="1">
        <v>12620.3</v>
      </c>
      <c r="J1444" s="1">
        <v>16390</v>
      </c>
      <c r="K1444" s="1">
        <v>12620.3</v>
      </c>
    </row>
    <row r="1445" spans="1:11" x14ac:dyDescent="0.35">
      <c r="A1445">
        <v>742161</v>
      </c>
      <c r="B1445">
        <v>2003837</v>
      </c>
      <c r="C1445" t="str">
        <f>"PLEMONS-STINNETT-PHILLIPS CISD"</f>
        <v>PLEMONS-STINNETT-PHILLIPS CISD</v>
      </c>
      <c r="D1445" t="s">
        <v>11</v>
      </c>
      <c r="E1445" t="s">
        <v>1190</v>
      </c>
      <c r="F1445" t="s">
        <v>1191</v>
      </c>
      <c r="G1445">
        <v>79083</v>
      </c>
      <c r="H1445">
        <v>2010</v>
      </c>
      <c r="I1445" s="1">
        <v>2849</v>
      </c>
      <c r="J1445" s="1">
        <v>3700</v>
      </c>
      <c r="K1445" s="1">
        <v>2849</v>
      </c>
    </row>
    <row r="1446" spans="1:11" x14ac:dyDescent="0.35">
      <c r="A1446">
        <v>746799</v>
      </c>
      <c r="B1446">
        <v>2015982</v>
      </c>
      <c r="C1446" t="str">
        <f>"POINT ISABEL INDEP SCH DIST"</f>
        <v>POINT ISABEL INDEP SCH DIST</v>
      </c>
      <c r="D1446" t="s">
        <v>11</v>
      </c>
      <c r="E1446" t="s">
        <v>1192</v>
      </c>
      <c r="F1446" t="s">
        <v>1193</v>
      </c>
      <c r="G1446">
        <v>78578</v>
      </c>
      <c r="H1446">
        <v>2010</v>
      </c>
      <c r="I1446" s="1">
        <v>34646.400000000001</v>
      </c>
      <c r="J1446" s="1">
        <v>38496</v>
      </c>
      <c r="K1446" s="1">
        <v>34646.400000000001</v>
      </c>
    </row>
    <row r="1447" spans="1:11" x14ac:dyDescent="0.35">
      <c r="A1447">
        <v>744174</v>
      </c>
      <c r="B1447">
        <v>2033716</v>
      </c>
      <c r="C1447" t="str">
        <f>"PONDER INDEP SCHOOL DISTRICT"</f>
        <v>PONDER INDEP SCHOOL DISTRICT</v>
      </c>
      <c r="D1447" t="s">
        <v>11</v>
      </c>
      <c r="E1447" t="s">
        <v>1194</v>
      </c>
      <c r="F1447" t="s">
        <v>1195</v>
      </c>
      <c r="G1447">
        <v>76259</v>
      </c>
      <c r="H1447">
        <v>2010</v>
      </c>
      <c r="I1447" s="1">
        <v>7524</v>
      </c>
      <c r="J1447" s="1">
        <v>13200</v>
      </c>
      <c r="K1447" s="1">
        <v>7524</v>
      </c>
    </row>
    <row r="1448" spans="1:11" x14ac:dyDescent="0.35">
      <c r="A1448">
        <v>744174</v>
      </c>
      <c r="B1448">
        <v>2033804</v>
      </c>
      <c r="C1448" t="str">
        <f>"PONDER INDEP SCHOOL DISTRICT"</f>
        <v>PONDER INDEP SCHOOL DISTRICT</v>
      </c>
      <c r="D1448" t="s">
        <v>11</v>
      </c>
      <c r="E1448" t="s">
        <v>1194</v>
      </c>
      <c r="F1448" t="s">
        <v>1195</v>
      </c>
      <c r="G1448">
        <v>76259</v>
      </c>
      <c r="H1448">
        <v>2010</v>
      </c>
      <c r="I1448" s="1">
        <v>1423.47</v>
      </c>
      <c r="J1448" s="1">
        <v>2497.3200000000002</v>
      </c>
      <c r="K1448" s="1">
        <v>1423.43</v>
      </c>
    </row>
    <row r="1449" spans="1:11" x14ac:dyDescent="0.35">
      <c r="A1449">
        <v>744174</v>
      </c>
      <c r="B1449">
        <v>2033828</v>
      </c>
      <c r="C1449" t="str">
        <f>"PONDER INDEP SCHOOL DISTRICT"</f>
        <v>PONDER INDEP SCHOOL DISTRICT</v>
      </c>
      <c r="D1449" t="s">
        <v>11</v>
      </c>
      <c r="E1449" t="s">
        <v>1194</v>
      </c>
      <c r="F1449" t="s">
        <v>1195</v>
      </c>
      <c r="G1449">
        <v>76259</v>
      </c>
      <c r="H1449">
        <v>2010</v>
      </c>
      <c r="I1449" s="1">
        <v>3418.03</v>
      </c>
      <c r="J1449" s="1">
        <v>5996.55</v>
      </c>
      <c r="K1449" s="1">
        <v>3418.03</v>
      </c>
    </row>
    <row r="1450" spans="1:11" x14ac:dyDescent="0.35">
      <c r="A1450">
        <v>744174</v>
      </c>
      <c r="B1450">
        <v>2033856</v>
      </c>
      <c r="C1450" t="str">
        <f>"PONDER INDEP SCHOOL DISTRICT"</f>
        <v>PONDER INDEP SCHOOL DISTRICT</v>
      </c>
      <c r="D1450" t="s">
        <v>11</v>
      </c>
      <c r="E1450" t="s">
        <v>1194</v>
      </c>
      <c r="F1450" t="s">
        <v>1195</v>
      </c>
      <c r="G1450">
        <v>76259</v>
      </c>
      <c r="H1450">
        <v>2010</v>
      </c>
      <c r="I1450" s="1">
        <v>1863.9</v>
      </c>
      <c r="J1450" s="1">
        <v>3270</v>
      </c>
      <c r="K1450" s="1">
        <v>1863.9</v>
      </c>
    </row>
    <row r="1451" spans="1:11" x14ac:dyDescent="0.35">
      <c r="A1451">
        <v>744174</v>
      </c>
      <c r="B1451">
        <v>2033690</v>
      </c>
      <c r="C1451" t="str">
        <f>"PONDER INDEP SCHOOL DISTRICT"</f>
        <v>PONDER INDEP SCHOOL DISTRICT</v>
      </c>
      <c r="D1451" t="s">
        <v>11</v>
      </c>
      <c r="E1451" t="s">
        <v>1194</v>
      </c>
      <c r="F1451" t="s">
        <v>1195</v>
      </c>
      <c r="G1451">
        <v>76259</v>
      </c>
      <c r="H1451">
        <v>2010</v>
      </c>
      <c r="I1451" s="1">
        <v>2052</v>
      </c>
      <c r="J1451" s="1">
        <v>3600</v>
      </c>
      <c r="K1451" s="1">
        <v>2052</v>
      </c>
    </row>
    <row r="1452" spans="1:11" x14ac:dyDescent="0.35">
      <c r="A1452">
        <v>729664</v>
      </c>
      <c r="B1452">
        <v>1973909</v>
      </c>
      <c r="C1452" t="str">
        <f>"POOLVILLE INDEP SCH DISTRICT"</f>
        <v>POOLVILLE INDEP SCH DISTRICT</v>
      </c>
      <c r="D1452" t="s">
        <v>11</v>
      </c>
      <c r="E1452" t="s">
        <v>1196</v>
      </c>
      <c r="F1452" t="s">
        <v>1197</v>
      </c>
      <c r="G1452">
        <v>76487</v>
      </c>
      <c r="H1452">
        <v>2010</v>
      </c>
      <c r="I1452" s="1">
        <v>2616</v>
      </c>
      <c r="J1452" s="1">
        <v>3270</v>
      </c>
      <c r="K1452" s="1">
        <v>2616</v>
      </c>
    </row>
    <row r="1453" spans="1:11" x14ac:dyDescent="0.35">
      <c r="A1453">
        <v>722430</v>
      </c>
      <c r="B1453">
        <v>1958716</v>
      </c>
      <c r="C1453" t="str">
        <f>"POOLVILLE INDEP SCH DISTRICT"</f>
        <v>POOLVILLE INDEP SCH DISTRICT</v>
      </c>
      <c r="D1453" t="s">
        <v>11</v>
      </c>
      <c r="E1453" t="s">
        <v>1196</v>
      </c>
      <c r="F1453" t="s">
        <v>1197</v>
      </c>
      <c r="G1453">
        <v>76487</v>
      </c>
      <c r="H1453">
        <v>2010</v>
      </c>
      <c r="I1453" s="1">
        <v>5280</v>
      </c>
      <c r="J1453" s="1">
        <v>6600</v>
      </c>
      <c r="K1453" s="1">
        <v>5280</v>
      </c>
    </row>
    <row r="1454" spans="1:11" x14ac:dyDescent="0.35">
      <c r="A1454">
        <v>723888</v>
      </c>
      <c r="B1454">
        <v>1961364</v>
      </c>
      <c r="C1454" t="str">
        <f>"POOLVILLE INDEP SCH DISTRICT"</f>
        <v>POOLVILLE INDEP SCH DISTRICT</v>
      </c>
      <c r="D1454" t="s">
        <v>11</v>
      </c>
      <c r="E1454" t="s">
        <v>1196</v>
      </c>
      <c r="F1454" t="s">
        <v>1197</v>
      </c>
      <c r="G1454">
        <v>76487</v>
      </c>
      <c r="H1454">
        <v>2010</v>
      </c>
      <c r="I1454" s="1">
        <v>1599.08</v>
      </c>
      <c r="J1454" s="1">
        <v>1998.85</v>
      </c>
      <c r="K1454" s="1">
        <v>1599.08</v>
      </c>
    </row>
    <row r="1455" spans="1:11" x14ac:dyDescent="0.35">
      <c r="A1455">
        <v>722491</v>
      </c>
      <c r="B1455">
        <v>1958814</v>
      </c>
      <c r="C1455" t="str">
        <f>"POOLVILLE INDEP SCH DISTRICT"</f>
        <v>POOLVILLE INDEP SCH DISTRICT</v>
      </c>
      <c r="D1455" t="s">
        <v>11</v>
      </c>
      <c r="E1455" t="s">
        <v>1196</v>
      </c>
      <c r="F1455" t="s">
        <v>1197</v>
      </c>
      <c r="G1455">
        <v>76487</v>
      </c>
      <c r="H1455">
        <v>2010</v>
      </c>
      <c r="I1455" s="1">
        <v>960</v>
      </c>
      <c r="J1455" s="1">
        <v>1200</v>
      </c>
      <c r="K1455" s="1">
        <v>960</v>
      </c>
    </row>
    <row r="1456" spans="1:11" x14ac:dyDescent="0.35">
      <c r="A1456">
        <v>716109</v>
      </c>
      <c r="B1456">
        <v>2045565</v>
      </c>
      <c r="C1456" t="str">
        <f>"POR VIDA ACADEMY"</f>
        <v>POR VIDA ACADEMY</v>
      </c>
      <c r="D1456" t="s">
        <v>11</v>
      </c>
      <c r="E1456" t="s">
        <v>1198</v>
      </c>
      <c r="F1456" t="s">
        <v>25</v>
      </c>
      <c r="G1456">
        <v>78210</v>
      </c>
      <c r="H1456">
        <v>2010</v>
      </c>
      <c r="I1456" s="1">
        <v>2662</v>
      </c>
      <c r="J1456" s="1">
        <v>3025</v>
      </c>
      <c r="K1456" s="1">
        <v>2662</v>
      </c>
    </row>
    <row r="1457" spans="1:11" x14ac:dyDescent="0.35">
      <c r="A1457">
        <v>716109</v>
      </c>
      <c r="B1457">
        <v>2045572</v>
      </c>
      <c r="C1457" t="str">
        <f>"POR VIDA ACADEMY"</f>
        <v>POR VIDA ACADEMY</v>
      </c>
      <c r="D1457" t="s">
        <v>11</v>
      </c>
      <c r="E1457" t="s">
        <v>1198</v>
      </c>
      <c r="F1457" t="s">
        <v>25</v>
      </c>
      <c r="G1457">
        <v>78210</v>
      </c>
      <c r="H1457">
        <v>2010</v>
      </c>
      <c r="I1457" s="1">
        <v>7392</v>
      </c>
      <c r="J1457" s="1">
        <v>8400</v>
      </c>
      <c r="K1457" s="1">
        <v>7392</v>
      </c>
    </row>
    <row r="1458" spans="1:11" x14ac:dyDescent="0.35">
      <c r="A1458">
        <v>739129</v>
      </c>
      <c r="B1458">
        <v>2012226</v>
      </c>
      <c r="C1458" t="str">
        <f>"PORT ARANSAS SCHOOL DISTRICT"</f>
        <v>PORT ARANSAS SCHOOL DISTRICT</v>
      </c>
      <c r="D1458" t="s">
        <v>11</v>
      </c>
      <c r="E1458" t="s">
        <v>1199</v>
      </c>
      <c r="F1458" t="s">
        <v>1200</v>
      </c>
      <c r="G1458">
        <v>78373</v>
      </c>
      <c r="H1458">
        <v>2010</v>
      </c>
      <c r="I1458" s="1">
        <v>0</v>
      </c>
      <c r="J1458" s="1">
        <v>0</v>
      </c>
    </row>
    <row r="1459" spans="1:11" x14ac:dyDescent="0.35">
      <c r="A1459">
        <v>739129</v>
      </c>
      <c r="B1459">
        <v>2012263</v>
      </c>
      <c r="C1459" t="str">
        <f>"PORT ARANSAS SCHOOL DISTRICT"</f>
        <v>PORT ARANSAS SCHOOL DISTRICT</v>
      </c>
      <c r="D1459" t="s">
        <v>11</v>
      </c>
      <c r="E1459" t="s">
        <v>1199</v>
      </c>
      <c r="F1459" t="s">
        <v>1200</v>
      </c>
      <c r="G1459">
        <v>78373</v>
      </c>
      <c r="H1459">
        <v>2010</v>
      </c>
      <c r="I1459" s="1">
        <v>0</v>
      </c>
      <c r="J1459" s="1">
        <v>0</v>
      </c>
    </row>
    <row r="1460" spans="1:11" x14ac:dyDescent="0.35">
      <c r="A1460">
        <v>749379</v>
      </c>
      <c r="B1460">
        <v>2075808</v>
      </c>
      <c r="C1460" t="str">
        <f>"PORT ARTHUR INDEP SCHOOL DIST"</f>
        <v>PORT ARTHUR INDEP SCHOOL DIST</v>
      </c>
      <c r="D1460" t="s">
        <v>11</v>
      </c>
      <c r="E1460" t="s">
        <v>1201</v>
      </c>
      <c r="F1460" t="s">
        <v>1202</v>
      </c>
      <c r="G1460">
        <v>77641</v>
      </c>
      <c r="H1460">
        <v>2010</v>
      </c>
      <c r="I1460" s="1">
        <v>39960</v>
      </c>
      <c r="J1460" s="1">
        <v>44400</v>
      </c>
      <c r="K1460" s="1">
        <v>39960</v>
      </c>
    </row>
    <row r="1461" spans="1:11" x14ac:dyDescent="0.35">
      <c r="A1461">
        <v>703430</v>
      </c>
      <c r="B1461">
        <v>1963906</v>
      </c>
      <c r="C1461" t="str">
        <f>"PORT NECHES-GROVES SCHOOL DIST"</f>
        <v>PORT NECHES-GROVES SCHOOL DIST</v>
      </c>
      <c r="D1461" t="s">
        <v>11</v>
      </c>
      <c r="E1461" t="s">
        <v>1203</v>
      </c>
      <c r="F1461" t="s">
        <v>1204</v>
      </c>
      <c r="G1461">
        <v>77651</v>
      </c>
      <c r="H1461">
        <v>2010</v>
      </c>
      <c r="I1461" s="1">
        <v>12540</v>
      </c>
      <c r="J1461" s="1">
        <v>22800</v>
      </c>
      <c r="K1461" s="1">
        <v>12540</v>
      </c>
    </row>
    <row r="1462" spans="1:11" x14ac:dyDescent="0.35">
      <c r="A1462">
        <v>703430</v>
      </c>
      <c r="B1462">
        <v>1963920</v>
      </c>
      <c r="C1462" t="str">
        <f>"PORT NECHES-GROVES SCHOOL DIST"</f>
        <v>PORT NECHES-GROVES SCHOOL DIST</v>
      </c>
      <c r="D1462" t="s">
        <v>11</v>
      </c>
      <c r="E1462" t="s">
        <v>1203</v>
      </c>
      <c r="F1462" t="s">
        <v>1204</v>
      </c>
      <c r="G1462">
        <v>77651</v>
      </c>
      <c r="H1462">
        <v>2010</v>
      </c>
      <c r="I1462" s="1">
        <v>3073.81</v>
      </c>
      <c r="J1462" s="1">
        <v>5588.75</v>
      </c>
      <c r="K1462" s="1">
        <v>3073.81</v>
      </c>
    </row>
    <row r="1463" spans="1:11" x14ac:dyDescent="0.35">
      <c r="A1463">
        <v>730800</v>
      </c>
      <c r="B1463">
        <v>1976649</v>
      </c>
      <c r="C1463" t="str">
        <f>"POST INDEP SCHOOL DISTRICT"</f>
        <v>POST INDEP SCHOOL DISTRICT</v>
      </c>
      <c r="D1463" t="s">
        <v>11</v>
      </c>
      <c r="E1463" t="s">
        <v>1205</v>
      </c>
      <c r="F1463" t="s">
        <v>1206</v>
      </c>
      <c r="G1463">
        <v>79356</v>
      </c>
      <c r="H1463">
        <v>2010</v>
      </c>
      <c r="I1463" s="1">
        <v>1483.18</v>
      </c>
      <c r="J1463" s="1">
        <v>1808.76</v>
      </c>
      <c r="K1463" s="1">
        <v>1483.18</v>
      </c>
    </row>
    <row r="1464" spans="1:11" x14ac:dyDescent="0.35">
      <c r="A1464">
        <v>730800</v>
      </c>
      <c r="B1464">
        <v>2014329</v>
      </c>
      <c r="C1464" t="str">
        <f>"POST INDEP SCHOOL DISTRICT"</f>
        <v>POST INDEP SCHOOL DISTRICT</v>
      </c>
      <c r="D1464" t="s">
        <v>11</v>
      </c>
      <c r="E1464" t="s">
        <v>1205</v>
      </c>
      <c r="F1464" t="s">
        <v>1206</v>
      </c>
      <c r="G1464">
        <v>79356</v>
      </c>
      <c r="H1464">
        <v>2010</v>
      </c>
      <c r="I1464" s="1">
        <v>1306.75</v>
      </c>
      <c r="J1464" s="1">
        <v>1593.6</v>
      </c>
    </row>
    <row r="1465" spans="1:11" x14ac:dyDescent="0.35">
      <c r="A1465">
        <v>730800</v>
      </c>
      <c r="B1465">
        <v>1976675</v>
      </c>
      <c r="C1465" t="str">
        <f>"POST INDEP SCHOOL DISTRICT"</f>
        <v>POST INDEP SCHOOL DISTRICT</v>
      </c>
      <c r="D1465" t="s">
        <v>11</v>
      </c>
      <c r="E1465" t="s">
        <v>1205</v>
      </c>
      <c r="F1465" t="s">
        <v>1206</v>
      </c>
      <c r="G1465">
        <v>79356</v>
      </c>
      <c r="H1465">
        <v>2010</v>
      </c>
      <c r="I1465" s="1">
        <v>11571.84</v>
      </c>
      <c r="J1465" s="1">
        <v>14112</v>
      </c>
      <c r="K1465" s="1">
        <v>11571.84</v>
      </c>
    </row>
    <row r="1466" spans="1:11" x14ac:dyDescent="0.35">
      <c r="A1466">
        <v>730800</v>
      </c>
      <c r="B1466">
        <v>1980556</v>
      </c>
      <c r="C1466" t="str">
        <f>"POST INDEP SCHOOL DISTRICT"</f>
        <v>POST INDEP SCHOOL DISTRICT</v>
      </c>
      <c r="D1466" t="s">
        <v>11</v>
      </c>
      <c r="E1466" t="s">
        <v>1205</v>
      </c>
      <c r="F1466" t="s">
        <v>1206</v>
      </c>
      <c r="G1466">
        <v>79356</v>
      </c>
      <c r="H1466">
        <v>2010</v>
      </c>
      <c r="I1466" s="1">
        <v>2883.51</v>
      </c>
      <c r="J1466" s="1">
        <v>3516.48</v>
      </c>
      <c r="K1466" s="1">
        <v>424.91</v>
      </c>
    </row>
    <row r="1467" spans="1:11" x14ac:dyDescent="0.35">
      <c r="A1467">
        <v>742854</v>
      </c>
      <c r="B1467">
        <v>2005426</v>
      </c>
      <c r="C1467" t="str">
        <f>"POTEET INDEP SCHOOL DISTRICT"</f>
        <v>POTEET INDEP SCHOOL DISTRICT</v>
      </c>
      <c r="D1467" t="s">
        <v>11</v>
      </c>
      <c r="E1467" t="s">
        <v>1207</v>
      </c>
      <c r="F1467" t="s">
        <v>1208</v>
      </c>
      <c r="G1467">
        <v>78065</v>
      </c>
      <c r="H1467">
        <v>2010</v>
      </c>
      <c r="I1467" s="1">
        <v>4557.71</v>
      </c>
      <c r="J1467" s="1">
        <v>5064.12</v>
      </c>
      <c r="K1467" s="1">
        <v>4557.71</v>
      </c>
    </row>
    <row r="1468" spans="1:11" x14ac:dyDescent="0.35">
      <c r="A1468">
        <v>743001</v>
      </c>
      <c r="B1468">
        <v>2053012</v>
      </c>
      <c r="C1468" t="str">
        <f>"POTEET INDEP SCHOOL DISTRICT"</f>
        <v>POTEET INDEP SCHOOL DISTRICT</v>
      </c>
      <c r="D1468" t="s">
        <v>11</v>
      </c>
      <c r="E1468" t="s">
        <v>1207</v>
      </c>
      <c r="F1468" t="s">
        <v>1208</v>
      </c>
      <c r="G1468">
        <v>78065</v>
      </c>
      <c r="H1468">
        <v>2010</v>
      </c>
      <c r="I1468" s="1">
        <v>917.35</v>
      </c>
      <c r="J1468" s="1">
        <v>1019.28</v>
      </c>
      <c r="K1468" s="1">
        <v>523.34</v>
      </c>
    </row>
    <row r="1469" spans="1:11" x14ac:dyDescent="0.35">
      <c r="A1469">
        <v>742854</v>
      </c>
      <c r="B1469">
        <v>2005475</v>
      </c>
      <c r="C1469" t="str">
        <f>"POTEET INDEP SCHOOL DISTRICT"</f>
        <v>POTEET INDEP SCHOOL DISTRICT</v>
      </c>
      <c r="D1469" t="s">
        <v>11</v>
      </c>
      <c r="E1469" t="s">
        <v>1207</v>
      </c>
      <c r="F1469" t="s">
        <v>1208</v>
      </c>
      <c r="G1469">
        <v>78065</v>
      </c>
      <c r="H1469">
        <v>2010</v>
      </c>
      <c r="I1469" s="1">
        <v>4679.96</v>
      </c>
      <c r="J1469" s="1">
        <v>5199.96</v>
      </c>
      <c r="K1469" s="1">
        <v>4679.96</v>
      </c>
    </row>
    <row r="1470" spans="1:11" x14ac:dyDescent="0.35">
      <c r="A1470">
        <v>743001</v>
      </c>
      <c r="B1470">
        <v>2006093</v>
      </c>
      <c r="C1470" t="str">
        <f>"POTEET INDEP SCHOOL DISTRICT"</f>
        <v>POTEET INDEP SCHOOL DISTRICT</v>
      </c>
      <c r="D1470" t="s">
        <v>11</v>
      </c>
      <c r="E1470" t="s">
        <v>1207</v>
      </c>
      <c r="F1470" t="s">
        <v>1208</v>
      </c>
      <c r="G1470">
        <v>78065</v>
      </c>
      <c r="H1470">
        <v>2010</v>
      </c>
      <c r="I1470" s="1">
        <v>34722.32</v>
      </c>
      <c r="J1470" s="1">
        <v>38580.36</v>
      </c>
      <c r="K1470" s="1">
        <v>23236.21</v>
      </c>
    </row>
    <row r="1471" spans="1:11" x14ac:dyDescent="0.35">
      <c r="A1471">
        <v>703704</v>
      </c>
      <c r="B1471">
        <v>2010880</v>
      </c>
      <c r="C1471" t="str">
        <f>"POTH INDEP SCHOOL DISTRICT"</f>
        <v>POTH INDEP SCHOOL DISTRICT</v>
      </c>
      <c r="D1471" t="s">
        <v>11</v>
      </c>
      <c r="E1471" t="s">
        <v>1209</v>
      </c>
      <c r="F1471" t="s">
        <v>1210</v>
      </c>
      <c r="G1471">
        <v>78147</v>
      </c>
      <c r="H1471">
        <v>2010</v>
      </c>
      <c r="I1471" s="1">
        <v>25056</v>
      </c>
      <c r="J1471" s="1">
        <v>41760</v>
      </c>
      <c r="K1471" s="1">
        <v>19374.54</v>
      </c>
    </row>
    <row r="1472" spans="1:11" x14ac:dyDescent="0.35">
      <c r="A1472">
        <v>703704</v>
      </c>
      <c r="B1472">
        <v>1981901</v>
      </c>
      <c r="C1472" t="str">
        <f>"POTH INDEP SCHOOL DISTRICT"</f>
        <v>POTH INDEP SCHOOL DISTRICT</v>
      </c>
      <c r="D1472" t="s">
        <v>11</v>
      </c>
      <c r="E1472" t="s">
        <v>1209</v>
      </c>
      <c r="F1472" t="s">
        <v>1210</v>
      </c>
      <c r="G1472">
        <v>78147</v>
      </c>
      <c r="H1472">
        <v>2010</v>
      </c>
      <c r="I1472" s="1">
        <v>432</v>
      </c>
      <c r="J1472" s="1">
        <v>720</v>
      </c>
      <c r="K1472" s="1">
        <v>431.88</v>
      </c>
    </row>
    <row r="1473" spans="1:11" x14ac:dyDescent="0.35">
      <c r="A1473">
        <v>703704</v>
      </c>
      <c r="B1473">
        <v>2018208</v>
      </c>
      <c r="C1473" t="str">
        <f>"POTH INDEP SCHOOL DISTRICT"</f>
        <v>POTH INDEP SCHOOL DISTRICT</v>
      </c>
      <c r="D1473" t="s">
        <v>11</v>
      </c>
      <c r="E1473" t="s">
        <v>1209</v>
      </c>
      <c r="F1473" t="s">
        <v>1210</v>
      </c>
      <c r="G1473">
        <v>78147</v>
      </c>
      <c r="H1473">
        <v>2010</v>
      </c>
      <c r="I1473" s="1">
        <v>2100</v>
      </c>
      <c r="J1473" s="1">
        <v>3500</v>
      </c>
      <c r="K1473" s="1">
        <v>2100</v>
      </c>
    </row>
    <row r="1474" spans="1:11" x14ac:dyDescent="0.35">
      <c r="A1474">
        <v>762368</v>
      </c>
      <c r="B1474">
        <v>2059574</v>
      </c>
      <c r="C1474" t="str">
        <f>"PRAIRIE LEA INDEP SCH DISTRICT"</f>
        <v>PRAIRIE LEA INDEP SCH DISTRICT</v>
      </c>
      <c r="D1474" t="s">
        <v>11</v>
      </c>
      <c r="E1474" t="s">
        <v>1211</v>
      </c>
      <c r="F1474" t="s">
        <v>1212</v>
      </c>
      <c r="G1474">
        <v>78661</v>
      </c>
      <c r="H1474">
        <v>2010</v>
      </c>
      <c r="I1474" s="1">
        <v>2880</v>
      </c>
      <c r="J1474" s="1">
        <v>3600</v>
      </c>
    </row>
    <row r="1475" spans="1:11" x14ac:dyDescent="0.35">
      <c r="A1475">
        <v>762368</v>
      </c>
      <c r="B1475">
        <v>2059558</v>
      </c>
      <c r="C1475" t="str">
        <f>"PRAIRIE LEA INDEP SCH DISTRICT"</f>
        <v>PRAIRIE LEA INDEP SCH DISTRICT</v>
      </c>
      <c r="D1475" t="s">
        <v>11</v>
      </c>
      <c r="E1475" t="s">
        <v>1211</v>
      </c>
      <c r="F1475" t="s">
        <v>1212</v>
      </c>
      <c r="G1475">
        <v>78661</v>
      </c>
      <c r="H1475">
        <v>2010</v>
      </c>
      <c r="I1475" s="1">
        <v>2880</v>
      </c>
      <c r="J1475" s="1">
        <v>3600</v>
      </c>
      <c r="K1475" s="1">
        <v>2880</v>
      </c>
    </row>
    <row r="1476" spans="1:11" x14ac:dyDescent="0.35">
      <c r="A1476">
        <v>761616</v>
      </c>
      <c r="B1476">
        <v>2058099</v>
      </c>
      <c r="C1476" t="str">
        <f>"PRAIRIE LEA INDEP SCH DISTRICT"</f>
        <v>PRAIRIE LEA INDEP SCH DISTRICT</v>
      </c>
      <c r="D1476" t="s">
        <v>11</v>
      </c>
      <c r="E1476" t="s">
        <v>1211</v>
      </c>
      <c r="F1476" t="s">
        <v>1212</v>
      </c>
      <c r="G1476">
        <v>78661</v>
      </c>
      <c r="H1476">
        <v>2010</v>
      </c>
      <c r="I1476" s="1">
        <v>3072</v>
      </c>
      <c r="J1476" s="1">
        <v>3840</v>
      </c>
      <c r="K1476" s="1">
        <v>3072</v>
      </c>
    </row>
    <row r="1477" spans="1:11" x14ac:dyDescent="0.35">
      <c r="A1477">
        <v>761616</v>
      </c>
      <c r="B1477">
        <v>2058091</v>
      </c>
      <c r="C1477" t="str">
        <f>"PRAIRIE LEA INDEP SCH DISTRICT"</f>
        <v>PRAIRIE LEA INDEP SCH DISTRICT</v>
      </c>
      <c r="D1477" t="s">
        <v>11</v>
      </c>
      <c r="E1477" t="s">
        <v>1211</v>
      </c>
      <c r="F1477" t="s">
        <v>1212</v>
      </c>
      <c r="G1477">
        <v>78661</v>
      </c>
      <c r="H1477">
        <v>2010</v>
      </c>
      <c r="I1477" s="1">
        <v>5280</v>
      </c>
      <c r="J1477" s="1">
        <v>6600</v>
      </c>
    </row>
    <row r="1478" spans="1:11" x14ac:dyDescent="0.35">
      <c r="A1478">
        <v>728594</v>
      </c>
      <c r="B1478">
        <v>1971328</v>
      </c>
      <c r="C1478" t="str">
        <f>"PRAIRIE VALLEY INDEP SCH DIST"</f>
        <v>PRAIRIE VALLEY INDEP SCH DIST</v>
      </c>
      <c r="D1478" t="s">
        <v>11</v>
      </c>
      <c r="E1478" t="s">
        <v>1213</v>
      </c>
      <c r="F1478" t="s">
        <v>1105</v>
      </c>
      <c r="G1478">
        <v>76255</v>
      </c>
      <c r="H1478">
        <v>2010</v>
      </c>
      <c r="I1478" s="1">
        <v>641.25</v>
      </c>
      <c r="J1478" s="1">
        <v>855</v>
      </c>
      <c r="K1478" s="1">
        <v>641.25</v>
      </c>
    </row>
    <row r="1479" spans="1:11" x14ac:dyDescent="0.35">
      <c r="A1479">
        <v>728594</v>
      </c>
      <c r="B1479">
        <v>1971296</v>
      </c>
      <c r="C1479" t="str">
        <f>"PRAIRIE VALLEY INDEP SCH DIST"</f>
        <v>PRAIRIE VALLEY INDEP SCH DIST</v>
      </c>
      <c r="D1479" t="s">
        <v>11</v>
      </c>
      <c r="E1479" t="s">
        <v>1213</v>
      </c>
      <c r="F1479" t="s">
        <v>1105</v>
      </c>
      <c r="G1479">
        <v>76255</v>
      </c>
      <c r="H1479">
        <v>2010</v>
      </c>
      <c r="I1479" s="1">
        <v>3997.35</v>
      </c>
      <c r="J1479" s="1">
        <v>5329.8</v>
      </c>
      <c r="K1479" s="1">
        <v>3997.35</v>
      </c>
    </row>
    <row r="1480" spans="1:11" x14ac:dyDescent="0.35">
      <c r="A1480">
        <v>724323</v>
      </c>
      <c r="B1480">
        <v>1962230</v>
      </c>
      <c r="C1480" t="str">
        <f>"PRAIRILAND INDEP SCHOOL DIST"</f>
        <v>PRAIRILAND INDEP SCHOOL DIST</v>
      </c>
      <c r="D1480" t="s">
        <v>11</v>
      </c>
      <c r="E1480" t="s">
        <v>1214</v>
      </c>
      <c r="F1480" t="s">
        <v>1215</v>
      </c>
      <c r="G1480">
        <v>75468</v>
      </c>
      <c r="H1480">
        <v>2010</v>
      </c>
      <c r="I1480" s="1">
        <v>2405.02</v>
      </c>
      <c r="J1480" s="1">
        <v>3123.4</v>
      </c>
      <c r="K1480" s="1">
        <v>2405.02</v>
      </c>
    </row>
    <row r="1481" spans="1:11" x14ac:dyDescent="0.35">
      <c r="A1481">
        <v>761317</v>
      </c>
      <c r="B1481">
        <v>2057171</v>
      </c>
      <c r="C1481" t="str">
        <f>"PREMONT INDEP SCHOOL DISTRICT"</f>
        <v>PREMONT INDEP SCHOOL DISTRICT</v>
      </c>
      <c r="D1481" t="s">
        <v>11</v>
      </c>
      <c r="E1481" t="s">
        <v>1216</v>
      </c>
      <c r="F1481" t="s">
        <v>1217</v>
      </c>
      <c r="G1481">
        <v>78375</v>
      </c>
      <c r="H1481">
        <v>2010</v>
      </c>
      <c r="I1481" s="1">
        <v>0</v>
      </c>
      <c r="J1481" s="1">
        <v>0</v>
      </c>
    </row>
    <row r="1482" spans="1:11" x14ac:dyDescent="0.35">
      <c r="A1482">
        <v>761317</v>
      </c>
      <c r="B1482">
        <v>2057146</v>
      </c>
      <c r="C1482" t="str">
        <f>"PREMONT INDEP SCHOOL DISTRICT"</f>
        <v>PREMONT INDEP SCHOOL DISTRICT</v>
      </c>
      <c r="D1482" t="s">
        <v>11</v>
      </c>
      <c r="E1482" t="s">
        <v>1216</v>
      </c>
      <c r="F1482" t="s">
        <v>1217</v>
      </c>
      <c r="G1482">
        <v>78375</v>
      </c>
      <c r="H1482">
        <v>2010</v>
      </c>
      <c r="I1482" s="1">
        <v>0</v>
      </c>
      <c r="J1482" s="1">
        <v>0</v>
      </c>
    </row>
    <row r="1483" spans="1:11" x14ac:dyDescent="0.35">
      <c r="A1483">
        <v>767701</v>
      </c>
      <c r="B1483">
        <v>2075787</v>
      </c>
      <c r="C1483" t="str">
        <f>"PRESBYTERIAN PAN AM SCHOOL"</f>
        <v>PRESBYTERIAN PAN AM SCHOOL</v>
      </c>
      <c r="D1483" t="s">
        <v>11</v>
      </c>
      <c r="E1483" t="s">
        <v>1218</v>
      </c>
      <c r="F1483" t="s">
        <v>814</v>
      </c>
      <c r="G1483">
        <v>78363</v>
      </c>
      <c r="H1483">
        <v>2010</v>
      </c>
      <c r="I1483" s="1">
        <v>17529.599999999999</v>
      </c>
      <c r="J1483" s="1">
        <v>21912</v>
      </c>
      <c r="K1483" s="1">
        <v>16916.64</v>
      </c>
    </row>
    <row r="1484" spans="1:11" x14ac:dyDescent="0.35">
      <c r="A1484">
        <v>767701</v>
      </c>
      <c r="B1484">
        <v>2076077</v>
      </c>
      <c r="C1484" t="str">
        <f>"PRESBYTERIAN PAN AM SCHOOL"</f>
        <v>PRESBYTERIAN PAN AM SCHOOL</v>
      </c>
      <c r="D1484" t="s">
        <v>11</v>
      </c>
      <c r="E1484" t="s">
        <v>1218</v>
      </c>
      <c r="F1484" t="s">
        <v>814</v>
      </c>
      <c r="G1484">
        <v>78363</v>
      </c>
      <c r="H1484">
        <v>2010</v>
      </c>
      <c r="I1484" s="1">
        <v>655.97</v>
      </c>
      <c r="J1484" s="1">
        <v>819.96</v>
      </c>
      <c r="K1484" s="1">
        <v>655.97</v>
      </c>
    </row>
    <row r="1485" spans="1:11" x14ac:dyDescent="0.35">
      <c r="A1485">
        <v>767701</v>
      </c>
      <c r="B1485">
        <v>2075956</v>
      </c>
      <c r="C1485" t="str">
        <f>"PRESBYTERIAN PAN AM SCHOOL"</f>
        <v>PRESBYTERIAN PAN AM SCHOOL</v>
      </c>
      <c r="D1485" t="s">
        <v>11</v>
      </c>
      <c r="E1485" t="s">
        <v>1218</v>
      </c>
      <c r="F1485" t="s">
        <v>814</v>
      </c>
      <c r="G1485">
        <v>78363</v>
      </c>
      <c r="H1485">
        <v>2010</v>
      </c>
      <c r="I1485" s="1">
        <v>1057.92</v>
      </c>
      <c r="J1485" s="1">
        <v>1322.4</v>
      </c>
      <c r="K1485" s="1">
        <v>1057.92</v>
      </c>
    </row>
    <row r="1486" spans="1:11" x14ac:dyDescent="0.35">
      <c r="A1486">
        <v>717474</v>
      </c>
      <c r="B1486">
        <v>1950378</v>
      </c>
      <c r="C1486" t="str">
        <f>"PRESIDIO INDEP SCHOOL DISTRICT"</f>
        <v>PRESIDIO INDEP SCHOOL DISTRICT</v>
      </c>
      <c r="D1486" t="s">
        <v>11</v>
      </c>
      <c r="E1486" t="s">
        <v>1219</v>
      </c>
      <c r="F1486" t="s">
        <v>1220</v>
      </c>
      <c r="G1486">
        <v>79845</v>
      </c>
      <c r="H1486">
        <v>2010</v>
      </c>
      <c r="I1486" s="1">
        <v>2940.3</v>
      </c>
      <c r="J1486" s="1">
        <v>3267</v>
      </c>
      <c r="K1486" s="1">
        <v>2940.3</v>
      </c>
    </row>
    <row r="1487" spans="1:11" x14ac:dyDescent="0.35">
      <c r="A1487">
        <v>715727</v>
      </c>
      <c r="B1487">
        <v>1948043</v>
      </c>
      <c r="C1487" t="str">
        <f>"PRIDDY SCHOOL DISTRICT"</f>
        <v>PRIDDY SCHOOL DISTRICT</v>
      </c>
      <c r="D1487" t="s">
        <v>11</v>
      </c>
      <c r="E1487" t="s">
        <v>1221</v>
      </c>
      <c r="F1487" t="s">
        <v>1222</v>
      </c>
      <c r="G1487">
        <v>76870</v>
      </c>
      <c r="H1487">
        <v>2010</v>
      </c>
      <c r="I1487" s="1">
        <v>1455.94</v>
      </c>
      <c r="J1487" s="1">
        <v>1819.92</v>
      </c>
      <c r="K1487" s="1">
        <v>1455.94</v>
      </c>
    </row>
    <row r="1488" spans="1:11" x14ac:dyDescent="0.35">
      <c r="A1488">
        <v>715727</v>
      </c>
      <c r="B1488">
        <v>1948035</v>
      </c>
      <c r="C1488" t="str">
        <f>"PRIDDY SCHOOL DISTRICT"</f>
        <v>PRIDDY SCHOOL DISTRICT</v>
      </c>
      <c r="D1488" t="s">
        <v>11</v>
      </c>
      <c r="E1488" t="s">
        <v>1221</v>
      </c>
      <c r="F1488" t="s">
        <v>1222</v>
      </c>
      <c r="G1488">
        <v>76870</v>
      </c>
      <c r="H1488">
        <v>2010</v>
      </c>
      <c r="I1488" s="1">
        <v>7228.8</v>
      </c>
      <c r="J1488" s="1">
        <v>9036</v>
      </c>
      <c r="K1488" s="1">
        <v>7228.8</v>
      </c>
    </row>
    <row r="1489" spans="1:11" x14ac:dyDescent="0.35">
      <c r="A1489">
        <v>760364</v>
      </c>
      <c r="B1489">
        <v>2054550</v>
      </c>
      <c r="C1489" t="str">
        <f>"PRINCETON INDEP SCHOOL DIST"</f>
        <v>PRINCETON INDEP SCHOOL DIST</v>
      </c>
      <c r="D1489" t="s">
        <v>11</v>
      </c>
      <c r="E1489" t="s">
        <v>1223</v>
      </c>
      <c r="F1489" t="s">
        <v>1224</v>
      </c>
      <c r="G1489">
        <v>75407</v>
      </c>
      <c r="H1489">
        <v>2010</v>
      </c>
      <c r="I1489" s="1">
        <v>6330</v>
      </c>
      <c r="J1489" s="1">
        <v>8440</v>
      </c>
      <c r="K1489" s="1">
        <v>6330</v>
      </c>
    </row>
    <row r="1490" spans="1:11" x14ac:dyDescent="0.35">
      <c r="A1490">
        <v>750741</v>
      </c>
      <c r="B1490">
        <v>2058038</v>
      </c>
      <c r="C1490" t="str">
        <f>"PRINGLE-MORSE CONS SCHOOL DIST"</f>
        <v>PRINGLE-MORSE CONS SCHOOL DIST</v>
      </c>
      <c r="D1490" t="s">
        <v>11</v>
      </c>
      <c r="E1490" t="s">
        <v>1225</v>
      </c>
      <c r="F1490" t="s">
        <v>1226</v>
      </c>
      <c r="G1490">
        <v>79062</v>
      </c>
      <c r="H1490">
        <v>2010</v>
      </c>
      <c r="I1490" s="1">
        <v>986</v>
      </c>
      <c r="J1490" s="1">
        <v>1232.5</v>
      </c>
      <c r="K1490" s="1">
        <v>986</v>
      </c>
    </row>
    <row r="1491" spans="1:11" x14ac:dyDescent="0.35">
      <c r="A1491">
        <v>750741</v>
      </c>
      <c r="B1491">
        <v>2058083</v>
      </c>
      <c r="C1491" t="str">
        <f>"PRINGLE-MORSE CONS SCHOOL DIST"</f>
        <v>PRINGLE-MORSE CONS SCHOOL DIST</v>
      </c>
      <c r="D1491" t="s">
        <v>11</v>
      </c>
      <c r="E1491" t="s">
        <v>1225</v>
      </c>
      <c r="F1491" t="s">
        <v>1226</v>
      </c>
      <c r="G1491">
        <v>79062</v>
      </c>
      <c r="H1491">
        <v>2010</v>
      </c>
      <c r="I1491" s="1">
        <v>2959.97</v>
      </c>
      <c r="J1491" s="1">
        <v>3699.96</v>
      </c>
      <c r="K1491" s="1">
        <v>2959.97</v>
      </c>
    </row>
    <row r="1492" spans="1:11" x14ac:dyDescent="0.35">
      <c r="A1492">
        <v>750741</v>
      </c>
      <c r="B1492">
        <v>2057911</v>
      </c>
      <c r="C1492" t="str">
        <f>"PRINGLE-MORSE CONS SCHOOL DIST"</f>
        <v>PRINGLE-MORSE CONS SCHOOL DIST</v>
      </c>
      <c r="D1492" t="s">
        <v>11</v>
      </c>
      <c r="E1492" t="s">
        <v>1225</v>
      </c>
      <c r="F1492" t="s">
        <v>1226</v>
      </c>
      <c r="G1492">
        <v>79062</v>
      </c>
      <c r="H1492">
        <v>2010</v>
      </c>
      <c r="I1492" s="1">
        <v>5311.97</v>
      </c>
      <c r="J1492" s="1">
        <v>6639.96</v>
      </c>
      <c r="K1492" s="1">
        <v>5311.97</v>
      </c>
    </row>
    <row r="1493" spans="1:11" x14ac:dyDescent="0.35">
      <c r="A1493">
        <v>764789</v>
      </c>
      <c r="B1493">
        <v>2066444</v>
      </c>
      <c r="C1493" t="str">
        <f>"PROGRESO INDEP SCHOOL DISTRICT"</f>
        <v>PROGRESO INDEP SCHOOL DISTRICT</v>
      </c>
      <c r="D1493" t="s">
        <v>11</v>
      </c>
      <c r="E1493" t="s">
        <v>1227</v>
      </c>
      <c r="F1493" t="s">
        <v>1228</v>
      </c>
      <c r="G1493">
        <v>78579</v>
      </c>
      <c r="H1493">
        <v>2010</v>
      </c>
      <c r="I1493" s="1">
        <v>0</v>
      </c>
      <c r="J1493" s="1">
        <v>0</v>
      </c>
    </row>
    <row r="1494" spans="1:11" x14ac:dyDescent="0.35">
      <c r="A1494">
        <v>765001</v>
      </c>
      <c r="B1494">
        <v>2067146</v>
      </c>
      <c r="C1494" t="str">
        <f>"PROGRESO INDEP SCHOOL DISTRICT"</f>
        <v>PROGRESO INDEP SCHOOL DISTRICT</v>
      </c>
      <c r="D1494" t="s">
        <v>11</v>
      </c>
      <c r="E1494" t="s">
        <v>1227</v>
      </c>
      <c r="F1494" t="s">
        <v>1228</v>
      </c>
      <c r="G1494">
        <v>78579</v>
      </c>
      <c r="H1494">
        <v>2010</v>
      </c>
      <c r="I1494" s="1">
        <v>1957.5</v>
      </c>
      <c r="J1494" s="1">
        <v>2175</v>
      </c>
    </row>
    <row r="1495" spans="1:11" x14ac:dyDescent="0.35">
      <c r="A1495">
        <v>719311</v>
      </c>
      <c r="B1495">
        <v>1953044</v>
      </c>
      <c r="C1495" t="str">
        <f>"PROSPER INDEP SCHOOL DISTRICT"</f>
        <v>PROSPER INDEP SCHOOL DISTRICT</v>
      </c>
      <c r="D1495" t="s">
        <v>11</v>
      </c>
      <c r="E1495" t="s">
        <v>1229</v>
      </c>
      <c r="F1495" t="s">
        <v>1230</v>
      </c>
      <c r="G1495">
        <v>75078</v>
      </c>
      <c r="H1495">
        <v>2010</v>
      </c>
      <c r="I1495" s="1">
        <v>9789.1200000000008</v>
      </c>
      <c r="J1495" s="1">
        <v>22248</v>
      </c>
      <c r="K1495" s="1">
        <v>9789.1200000000008</v>
      </c>
    </row>
    <row r="1496" spans="1:11" x14ac:dyDescent="0.35">
      <c r="A1496">
        <v>718724</v>
      </c>
      <c r="B1496">
        <v>1952198</v>
      </c>
      <c r="C1496" t="str">
        <f>"QUANAH INDEP SCHOOL DISTRICT"</f>
        <v>QUANAH INDEP SCHOOL DISTRICT</v>
      </c>
      <c r="D1496" t="s">
        <v>11</v>
      </c>
      <c r="E1496" t="s">
        <v>1231</v>
      </c>
      <c r="F1496" t="s">
        <v>1232</v>
      </c>
      <c r="G1496">
        <v>79252</v>
      </c>
      <c r="H1496">
        <v>2010</v>
      </c>
      <c r="I1496" s="1">
        <v>9060.66</v>
      </c>
      <c r="J1496" s="1">
        <v>10659.6</v>
      </c>
      <c r="K1496" s="1">
        <v>9060.66</v>
      </c>
    </row>
    <row r="1497" spans="1:11" x14ac:dyDescent="0.35">
      <c r="A1497">
        <v>718724</v>
      </c>
      <c r="B1497">
        <v>1952185</v>
      </c>
      <c r="C1497" t="str">
        <f>"QUANAH INDEP SCHOOL DISTRICT"</f>
        <v>QUANAH INDEP SCHOOL DISTRICT</v>
      </c>
      <c r="D1497" t="s">
        <v>11</v>
      </c>
      <c r="E1497" t="s">
        <v>1231</v>
      </c>
      <c r="F1497" t="s">
        <v>1232</v>
      </c>
      <c r="G1497">
        <v>79252</v>
      </c>
      <c r="H1497">
        <v>2010</v>
      </c>
      <c r="I1497" s="1">
        <v>1127.92</v>
      </c>
      <c r="J1497" s="1">
        <v>1326.96</v>
      </c>
      <c r="K1497" s="1">
        <v>1127.92</v>
      </c>
    </row>
    <row r="1498" spans="1:11" x14ac:dyDescent="0.35">
      <c r="A1498">
        <v>742966</v>
      </c>
      <c r="B1498">
        <v>2006774</v>
      </c>
      <c r="C1498" t="str">
        <f>"QUINLAN INDEP SCHOOL DISTRICT"</f>
        <v>QUINLAN INDEP SCHOOL DISTRICT</v>
      </c>
      <c r="D1498" t="s">
        <v>11</v>
      </c>
      <c r="E1498" t="s">
        <v>1233</v>
      </c>
      <c r="F1498" t="s">
        <v>1234</v>
      </c>
      <c r="G1498">
        <v>75474</v>
      </c>
      <c r="H1498">
        <v>2010</v>
      </c>
      <c r="I1498" s="1">
        <v>5625</v>
      </c>
      <c r="J1498" s="1">
        <v>7500</v>
      </c>
    </row>
    <row r="1499" spans="1:11" x14ac:dyDescent="0.35">
      <c r="A1499">
        <v>751433</v>
      </c>
      <c r="B1499">
        <v>2030673</v>
      </c>
      <c r="C1499" t="str">
        <f>"QUITMAN INDEP SCHOOL DISTRICT"</f>
        <v>QUITMAN INDEP SCHOOL DISTRICT</v>
      </c>
      <c r="D1499" t="s">
        <v>11</v>
      </c>
      <c r="E1499" t="s">
        <v>1235</v>
      </c>
      <c r="F1499" t="s">
        <v>1236</v>
      </c>
      <c r="G1499">
        <v>75783</v>
      </c>
      <c r="H1499">
        <v>2010</v>
      </c>
      <c r="I1499" s="1">
        <v>7650</v>
      </c>
      <c r="J1499" s="1">
        <v>10200</v>
      </c>
      <c r="K1499" s="1">
        <v>7650</v>
      </c>
    </row>
    <row r="1500" spans="1:11" x14ac:dyDescent="0.35">
      <c r="A1500">
        <v>767848</v>
      </c>
      <c r="B1500">
        <v>2077481</v>
      </c>
      <c r="C1500" t="str">
        <f t="shared" ref="C1500:C1505" si="21">"RADIANCE ACADEMY OF LEARNING"</f>
        <v>RADIANCE ACADEMY OF LEARNING</v>
      </c>
      <c r="D1500" t="s">
        <v>11</v>
      </c>
      <c r="E1500" t="s">
        <v>1237</v>
      </c>
      <c r="F1500" t="s">
        <v>25</v>
      </c>
      <c r="G1500">
        <v>78227</v>
      </c>
      <c r="H1500">
        <v>2010</v>
      </c>
      <c r="I1500" s="1">
        <v>4320</v>
      </c>
      <c r="J1500" s="1">
        <v>4800</v>
      </c>
      <c r="K1500" s="1">
        <v>4320</v>
      </c>
    </row>
    <row r="1501" spans="1:11" x14ac:dyDescent="0.35">
      <c r="A1501">
        <v>767848</v>
      </c>
      <c r="B1501">
        <v>2077647</v>
      </c>
      <c r="C1501" t="str">
        <f t="shared" si="21"/>
        <v>RADIANCE ACADEMY OF LEARNING</v>
      </c>
      <c r="D1501" t="s">
        <v>11</v>
      </c>
      <c r="E1501" t="s">
        <v>1237</v>
      </c>
      <c r="F1501" t="s">
        <v>25</v>
      </c>
      <c r="G1501">
        <v>78227</v>
      </c>
      <c r="H1501">
        <v>2010</v>
      </c>
      <c r="I1501" s="1">
        <v>8640</v>
      </c>
      <c r="J1501" s="1">
        <v>9600</v>
      </c>
    </row>
    <row r="1502" spans="1:11" x14ac:dyDescent="0.35">
      <c r="A1502">
        <v>767848</v>
      </c>
      <c r="B1502">
        <v>2077843</v>
      </c>
      <c r="C1502" t="str">
        <f t="shared" si="21"/>
        <v>RADIANCE ACADEMY OF LEARNING</v>
      </c>
      <c r="D1502" t="s">
        <v>11</v>
      </c>
      <c r="E1502" t="s">
        <v>1237</v>
      </c>
      <c r="F1502" t="s">
        <v>25</v>
      </c>
      <c r="G1502">
        <v>78227</v>
      </c>
      <c r="H1502">
        <v>2010</v>
      </c>
      <c r="I1502" s="1">
        <v>4320</v>
      </c>
      <c r="J1502" s="1">
        <v>4800</v>
      </c>
      <c r="K1502" s="1">
        <v>3932.16</v>
      </c>
    </row>
    <row r="1503" spans="1:11" x14ac:dyDescent="0.35">
      <c r="A1503">
        <v>767848</v>
      </c>
      <c r="B1503">
        <v>2077790</v>
      </c>
      <c r="C1503" t="str">
        <f t="shared" si="21"/>
        <v>RADIANCE ACADEMY OF LEARNING</v>
      </c>
      <c r="D1503" t="s">
        <v>11</v>
      </c>
      <c r="E1503" t="s">
        <v>1237</v>
      </c>
      <c r="F1503" t="s">
        <v>25</v>
      </c>
      <c r="G1503">
        <v>78227</v>
      </c>
      <c r="H1503">
        <v>2010</v>
      </c>
      <c r="I1503" s="1">
        <v>4320</v>
      </c>
      <c r="J1503" s="1">
        <v>4800</v>
      </c>
      <c r="K1503" s="1">
        <v>3932.16</v>
      </c>
    </row>
    <row r="1504" spans="1:11" x14ac:dyDescent="0.35">
      <c r="A1504">
        <v>767848</v>
      </c>
      <c r="B1504">
        <v>2077703</v>
      </c>
      <c r="C1504" t="str">
        <f t="shared" si="21"/>
        <v>RADIANCE ACADEMY OF LEARNING</v>
      </c>
      <c r="D1504" t="s">
        <v>11</v>
      </c>
      <c r="E1504" t="s">
        <v>1237</v>
      </c>
      <c r="F1504" t="s">
        <v>25</v>
      </c>
      <c r="G1504">
        <v>78227</v>
      </c>
      <c r="H1504">
        <v>2010</v>
      </c>
      <c r="I1504" s="1">
        <v>29328</v>
      </c>
      <c r="J1504" s="1">
        <v>36660</v>
      </c>
    </row>
    <row r="1505" spans="1:11" x14ac:dyDescent="0.35">
      <c r="A1505">
        <v>767848</v>
      </c>
      <c r="B1505">
        <v>2077764</v>
      </c>
      <c r="C1505" t="str">
        <f t="shared" si="21"/>
        <v>RADIANCE ACADEMY OF LEARNING</v>
      </c>
      <c r="D1505" t="s">
        <v>11</v>
      </c>
      <c r="E1505" t="s">
        <v>1237</v>
      </c>
      <c r="F1505" t="s">
        <v>25</v>
      </c>
      <c r="G1505">
        <v>78227</v>
      </c>
      <c r="H1505">
        <v>2010</v>
      </c>
      <c r="I1505" s="1">
        <v>3840</v>
      </c>
      <c r="J1505" s="1">
        <v>4800</v>
      </c>
      <c r="K1505" s="1">
        <v>3840</v>
      </c>
    </row>
    <row r="1506" spans="1:11" x14ac:dyDescent="0.35">
      <c r="A1506">
        <v>751684</v>
      </c>
      <c r="B1506">
        <v>2030683</v>
      </c>
      <c r="C1506" t="str">
        <f>"RAINS INDEP SCHOOL DISTRICT"</f>
        <v>RAINS INDEP SCHOOL DISTRICT</v>
      </c>
      <c r="D1506" t="s">
        <v>11</v>
      </c>
      <c r="E1506" t="s">
        <v>1238</v>
      </c>
      <c r="F1506" t="s">
        <v>1239</v>
      </c>
      <c r="G1506">
        <v>75440</v>
      </c>
      <c r="H1506">
        <v>2010</v>
      </c>
      <c r="I1506" s="1">
        <v>16170</v>
      </c>
      <c r="J1506" s="1">
        <v>21000</v>
      </c>
      <c r="K1506" s="1">
        <v>11085.6</v>
      </c>
    </row>
    <row r="1507" spans="1:11" x14ac:dyDescent="0.35">
      <c r="A1507">
        <v>745129</v>
      </c>
      <c r="B1507">
        <v>2011799</v>
      </c>
      <c r="C1507" t="str">
        <f>"RALLS INDEP SCHOOL DISTRICT"</f>
        <v>RALLS INDEP SCHOOL DISTRICT</v>
      </c>
      <c r="D1507" t="s">
        <v>11</v>
      </c>
      <c r="E1507" t="s">
        <v>1240</v>
      </c>
      <c r="F1507" t="s">
        <v>1241</v>
      </c>
      <c r="G1507">
        <v>79357</v>
      </c>
      <c r="H1507">
        <v>2010</v>
      </c>
      <c r="I1507" s="1">
        <v>1641.69</v>
      </c>
      <c r="J1507" s="1">
        <v>1887</v>
      </c>
    </row>
    <row r="1508" spans="1:11" x14ac:dyDescent="0.35">
      <c r="A1508">
        <v>745129</v>
      </c>
      <c r="B1508">
        <v>2011839</v>
      </c>
      <c r="C1508" t="str">
        <f>"RALLS INDEP SCHOOL DISTRICT"</f>
        <v>RALLS INDEP SCHOOL DISTRICT</v>
      </c>
      <c r="D1508" t="s">
        <v>11</v>
      </c>
      <c r="E1508" t="s">
        <v>1240</v>
      </c>
      <c r="F1508" t="s">
        <v>1241</v>
      </c>
      <c r="G1508">
        <v>79357</v>
      </c>
      <c r="H1508">
        <v>2010</v>
      </c>
      <c r="I1508" s="1">
        <v>1957.5</v>
      </c>
      <c r="J1508" s="1">
        <v>2250</v>
      </c>
      <c r="K1508" s="1">
        <v>1926.18</v>
      </c>
    </row>
    <row r="1509" spans="1:11" x14ac:dyDescent="0.35">
      <c r="A1509">
        <v>745129</v>
      </c>
      <c r="B1509">
        <v>2011900</v>
      </c>
      <c r="C1509" t="str">
        <f>"RALLS INDEP SCHOOL DISTRICT"</f>
        <v>RALLS INDEP SCHOOL DISTRICT</v>
      </c>
      <c r="D1509" t="s">
        <v>11</v>
      </c>
      <c r="E1509" t="s">
        <v>1240</v>
      </c>
      <c r="F1509" t="s">
        <v>1241</v>
      </c>
      <c r="G1509">
        <v>79357</v>
      </c>
      <c r="H1509">
        <v>2010</v>
      </c>
      <c r="I1509" s="1">
        <v>978.75</v>
      </c>
      <c r="J1509" s="1">
        <v>1125</v>
      </c>
      <c r="K1509" s="1">
        <v>978.75</v>
      </c>
    </row>
    <row r="1510" spans="1:11" x14ac:dyDescent="0.35">
      <c r="A1510">
        <v>745129</v>
      </c>
      <c r="B1510">
        <v>2011763</v>
      </c>
      <c r="C1510" t="str">
        <f>"RALLS INDEP SCHOOL DISTRICT"</f>
        <v>RALLS INDEP SCHOOL DISTRICT</v>
      </c>
      <c r="D1510" t="s">
        <v>11</v>
      </c>
      <c r="E1510" t="s">
        <v>1240</v>
      </c>
      <c r="F1510" t="s">
        <v>1241</v>
      </c>
      <c r="G1510">
        <v>79357</v>
      </c>
      <c r="H1510">
        <v>2010</v>
      </c>
      <c r="I1510" s="1">
        <v>6525</v>
      </c>
      <c r="J1510" s="1">
        <v>7500</v>
      </c>
      <c r="K1510" s="1">
        <v>6525</v>
      </c>
    </row>
    <row r="1511" spans="1:11" x14ac:dyDescent="0.35">
      <c r="A1511">
        <v>739562</v>
      </c>
      <c r="B1511">
        <v>2002885</v>
      </c>
      <c r="C1511" t="str">
        <f>"RAMIREZ COMMON SCHOOL DISTRICT"</f>
        <v>RAMIREZ COMMON SCHOOL DISTRICT</v>
      </c>
      <c r="D1511" t="s">
        <v>11</v>
      </c>
      <c r="E1511" t="s">
        <v>1242</v>
      </c>
      <c r="F1511" t="s">
        <v>1243</v>
      </c>
      <c r="G1511">
        <v>78376</v>
      </c>
      <c r="H1511">
        <v>2010</v>
      </c>
      <c r="I1511" s="1">
        <v>5086.8</v>
      </c>
      <c r="J1511" s="1">
        <v>5652</v>
      </c>
      <c r="K1511" s="1">
        <v>5076</v>
      </c>
    </row>
    <row r="1512" spans="1:11" x14ac:dyDescent="0.35">
      <c r="A1512">
        <v>743030</v>
      </c>
      <c r="B1512">
        <v>2006066</v>
      </c>
      <c r="C1512" t="str">
        <f>"RAMIREZ COMMON SCHOOL DISTRICT"</f>
        <v>RAMIREZ COMMON SCHOOL DISTRICT</v>
      </c>
      <c r="D1512" t="s">
        <v>11</v>
      </c>
      <c r="E1512" t="s">
        <v>1242</v>
      </c>
      <c r="F1512" t="s">
        <v>1243</v>
      </c>
      <c r="G1512">
        <v>78376</v>
      </c>
      <c r="H1512">
        <v>2010</v>
      </c>
      <c r="I1512" s="1">
        <v>8999.9599999999991</v>
      </c>
      <c r="J1512" s="1">
        <v>9999.9599999999991</v>
      </c>
    </row>
    <row r="1513" spans="1:11" x14ac:dyDescent="0.35">
      <c r="A1513">
        <v>764743</v>
      </c>
      <c r="B1513">
        <v>2067562</v>
      </c>
      <c r="C1513" t="str">
        <f>"RANDOLPH FIELD SCHOOL DISTRICT"</f>
        <v>RANDOLPH FIELD SCHOOL DISTRICT</v>
      </c>
      <c r="D1513" t="s">
        <v>11</v>
      </c>
      <c r="E1513" t="s">
        <v>1244</v>
      </c>
      <c r="F1513" t="s">
        <v>1245</v>
      </c>
      <c r="G1513">
        <v>78148</v>
      </c>
      <c r="H1513">
        <v>2010</v>
      </c>
      <c r="I1513" s="1">
        <v>3676.8</v>
      </c>
      <c r="J1513" s="1">
        <v>9192</v>
      </c>
      <c r="K1513" s="1">
        <v>3544.03</v>
      </c>
    </row>
    <row r="1514" spans="1:11" x14ac:dyDescent="0.35">
      <c r="A1514">
        <v>764743</v>
      </c>
      <c r="B1514">
        <v>2067822</v>
      </c>
      <c r="C1514" t="str">
        <f>"RANDOLPH FIELD SCHOOL DISTRICT"</f>
        <v>RANDOLPH FIELD SCHOOL DISTRICT</v>
      </c>
      <c r="D1514" t="s">
        <v>11</v>
      </c>
      <c r="E1514" t="s">
        <v>1244</v>
      </c>
      <c r="F1514" t="s">
        <v>1245</v>
      </c>
      <c r="G1514">
        <v>78148</v>
      </c>
      <c r="H1514">
        <v>2010</v>
      </c>
      <c r="I1514" s="1">
        <v>3288.96</v>
      </c>
      <c r="J1514" s="1">
        <v>8222.4</v>
      </c>
      <c r="K1514" s="1">
        <v>3288.96</v>
      </c>
    </row>
    <row r="1515" spans="1:11" x14ac:dyDescent="0.35">
      <c r="A1515">
        <v>764743</v>
      </c>
      <c r="B1515">
        <v>2068252</v>
      </c>
      <c r="C1515" t="str">
        <f>"RANDOLPH FIELD SCHOOL DISTRICT"</f>
        <v>RANDOLPH FIELD SCHOOL DISTRICT</v>
      </c>
      <c r="D1515" t="s">
        <v>11</v>
      </c>
      <c r="E1515" t="s">
        <v>1244</v>
      </c>
      <c r="F1515" t="s">
        <v>1245</v>
      </c>
      <c r="G1515">
        <v>78148</v>
      </c>
      <c r="H1515">
        <v>2010</v>
      </c>
      <c r="I1515" s="1">
        <v>5540</v>
      </c>
      <c r="J1515" s="1">
        <v>13850</v>
      </c>
      <c r="K1515" s="1">
        <v>5120</v>
      </c>
    </row>
    <row r="1516" spans="1:11" x14ac:dyDescent="0.35">
      <c r="A1516">
        <v>744665</v>
      </c>
      <c r="B1516">
        <v>2010014</v>
      </c>
      <c r="C1516" t="str">
        <f>"RANGER INDEP SCHOOL DISTRICT"</f>
        <v>RANGER INDEP SCHOOL DISTRICT</v>
      </c>
      <c r="D1516" t="s">
        <v>11</v>
      </c>
      <c r="E1516" t="s">
        <v>1246</v>
      </c>
      <c r="F1516" t="s">
        <v>1247</v>
      </c>
      <c r="G1516">
        <v>76470</v>
      </c>
      <c r="H1516">
        <v>2010</v>
      </c>
      <c r="I1516" s="1">
        <v>1134.3800000000001</v>
      </c>
      <c r="J1516" s="1">
        <v>1383.39</v>
      </c>
      <c r="K1516" s="1">
        <v>1134.3800000000001</v>
      </c>
    </row>
    <row r="1517" spans="1:11" x14ac:dyDescent="0.35">
      <c r="A1517">
        <v>762213</v>
      </c>
      <c r="B1517">
        <v>2059138</v>
      </c>
      <c r="C1517" t="str">
        <f>"RANKIN INDEP SCHOOL DISTRICT"</f>
        <v>RANKIN INDEP SCHOOL DISTRICT</v>
      </c>
      <c r="D1517" t="s">
        <v>11</v>
      </c>
      <c r="E1517" t="s">
        <v>1248</v>
      </c>
      <c r="F1517" t="s">
        <v>1249</v>
      </c>
      <c r="G1517">
        <v>79778</v>
      </c>
      <c r="H1517">
        <v>2010</v>
      </c>
      <c r="I1517" s="1">
        <v>5082</v>
      </c>
      <c r="J1517" s="1">
        <v>6600</v>
      </c>
    </row>
    <row r="1518" spans="1:11" x14ac:dyDescent="0.35">
      <c r="A1518">
        <v>728814</v>
      </c>
      <c r="B1518">
        <v>1985109</v>
      </c>
      <c r="C1518" t="str">
        <f>"RAUL YZAGUIRRE SCHOOL FOR SUCCESS"</f>
        <v>RAUL YZAGUIRRE SCHOOL FOR SUCCESS</v>
      </c>
      <c r="D1518" t="s">
        <v>11</v>
      </c>
      <c r="E1518" t="s">
        <v>1250</v>
      </c>
      <c r="F1518" t="s">
        <v>29</v>
      </c>
      <c r="G1518">
        <v>77017</v>
      </c>
      <c r="H1518">
        <v>2010</v>
      </c>
      <c r="I1518" s="1">
        <v>2160</v>
      </c>
      <c r="J1518" s="1">
        <v>2400</v>
      </c>
      <c r="K1518" s="1">
        <v>2160</v>
      </c>
    </row>
    <row r="1519" spans="1:11" x14ac:dyDescent="0.35">
      <c r="A1519">
        <v>728814</v>
      </c>
      <c r="B1519">
        <v>2076052</v>
      </c>
      <c r="C1519" t="str">
        <f>"RAUL YZAGUIRRE SCHOOL FOR SUCCESS"</f>
        <v>RAUL YZAGUIRRE SCHOOL FOR SUCCESS</v>
      </c>
      <c r="D1519" t="s">
        <v>11</v>
      </c>
      <c r="E1519" t="s">
        <v>1250</v>
      </c>
      <c r="F1519" t="s">
        <v>29</v>
      </c>
      <c r="G1519">
        <v>77017</v>
      </c>
      <c r="H1519">
        <v>2010</v>
      </c>
      <c r="I1519" s="1">
        <v>6594.48</v>
      </c>
      <c r="J1519" s="1">
        <v>7327.2</v>
      </c>
      <c r="K1519" s="1">
        <v>6594.48</v>
      </c>
    </row>
    <row r="1520" spans="1:11" x14ac:dyDescent="0.35">
      <c r="A1520">
        <v>763808</v>
      </c>
      <c r="B1520">
        <v>2069828</v>
      </c>
      <c r="C1520" t="str">
        <f>"RAYMONDVILLE INDEP SCHOOL DIST"</f>
        <v>RAYMONDVILLE INDEP SCHOOL DIST</v>
      </c>
      <c r="D1520" t="s">
        <v>11</v>
      </c>
      <c r="E1520" t="s">
        <v>1251</v>
      </c>
      <c r="F1520" t="s">
        <v>1252</v>
      </c>
      <c r="G1520">
        <v>78580</v>
      </c>
      <c r="H1520">
        <v>2010</v>
      </c>
      <c r="I1520" s="1">
        <v>18360</v>
      </c>
      <c r="J1520" s="1">
        <v>20400</v>
      </c>
      <c r="K1520" s="1">
        <v>7421.47</v>
      </c>
    </row>
    <row r="1521" spans="1:11" x14ac:dyDescent="0.35">
      <c r="A1521">
        <v>767798</v>
      </c>
      <c r="B1521">
        <v>2076578</v>
      </c>
      <c r="C1521" t="str">
        <f>"RAYMONDVILLE INDEP SCHOOL DIST"</f>
        <v>RAYMONDVILLE INDEP SCHOOL DIST</v>
      </c>
      <c r="D1521" t="s">
        <v>11</v>
      </c>
      <c r="E1521" t="s">
        <v>1251</v>
      </c>
      <c r="F1521" t="s">
        <v>1252</v>
      </c>
      <c r="G1521">
        <v>78580</v>
      </c>
      <c r="H1521">
        <v>2010</v>
      </c>
      <c r="I1521" s="1">
        <v>55080</v>
      </c>
      <c r="J1521" s="1">
        <v>61200</v>
      </c>
      <c r="K1521" s="1">
        <v>49464</v>
      </c>
    </row>
    <row r="1522" spans="1:11" x14ac:dyDescent="0.35">
      <c r="A1522">
        <v>765140</v>
      </c>
      <c r="B1522">
        <v>2068052</v>
      </c>
      <c r="C1522" t="str">
        <f>"REAGAN CO INDEP SCHOOL DIST"</f>
        <v>REAGAN CO INDEP SCHOOL DIST</v>
      </c>
      <c r="D1522" t="s">
        <v>11</v>
      </c>
      <c r="E1522" t="s">
        <v>1253</v>
      </c>
      <c r="F1522" t="s">
        <v>1254</v>
      </c>
      <c r="G1522">
        <v>76932</v>
      </c>
      <c r="H1522">
        <v>2010</v>
      </c>
      <c r="I1522" s="1">
        <v>1520.75</v>
      </c>
      <c r="J1522" s="1">
        <v>1975</v>
      </c>
      <c r="K1522" s="1">
        <v>1520.75</v>
      </c>
    </row>
    <row r="1523" spans="1:11" x14ac:dyDescent="0.35">
      <c r="A1523">
        <v>766767</v>
      </c>
      <c r="B1523">
        <v>2073025</v>
      </c>
      <c r="C1523" t="str">
        <f>"REAGAN CO INDEP SCHOOL DIST"</f>
        <v>REAGAN CO INDEP SCHOOL DIST</v>
      </c>
      <c r="D1523" t="s">
        <v>11</v>
      </c>
      <c r="E1523" t="s">
        <v>1253</v>
      </c>
      <c r="F1523" t="s">
        <v>1254</v>
      </c>
      <c r="G1523">
        <v>76932</v>
      </c>
      <c r="H1523">
        <v>2010</v>
      </c>
      <c r="I1523" s="1">
        <v>2679.6</v>
      </c>
      <c r="J1523" s="1">
        <v>3480</v>
      </c>
      <c r="K1523" s="1">
        <v>2679.6</v>
      </c>
    </row>
    <row r="1524" spans="1:11" x14ac:dyDescent="0.35">
      <c r="A1524">
        <v>766187</v>
      </c>
      <c r="B1524">
        <v>2074126</v>
      </c>
      <c r="C1524" t="str">
        <f>"REAGAN CO INDEP SCHOOL DIST"</f>
        <v>REAGAN CO INDEP SCHOOL DIST</v>
      </c>
      <c r="D1524" t="s">
        <v>11</v>
      </c>
      <c r="E1524" t="s">
        <v>1253</v>
      </c>
      <c r="F1524" t="s">
        <v>1254</v>
      </c>
      <c r="G1524">
        <v>76932</v>
      </c>
      <c r="H1524">
        <v>2010</v>
      </c>
      <c r="I1524" s="1">
        <v>33747.440000000002</v>
      </c>
      <c r="J1524" s="1">
        <v>43827.839999999997</v>
      </c>
      <c r="K1524" s="1">
        <v>31937</v>
      </c>
    </row>
    <row r="1525" spans="1:11" x14ac:dyDescent="0.35">
      <c r="A1525">
        <v>729489</v>
      </c>
      <c r="B1525">
        <v>1973551</v>
      </c>
      <c r="C1525" t="str">
        <f>"RED OAK INDEP SCHOOL DISTRICT"</f>
        <v>RED OAK INDEP SCHOOL DISTRICT</v>
      </c>
      <c r="D1525" t="s">
        <v>11</v>
      </c>
      <c r="E1525" t="s">
        <v>1255</v>
      </c>
      <c r="F1525" t="s">
        <v>1256</v>
      </c>
      <c r="G1525">
        <v>75154</v>
      </c>
      <c r="H1525">
        <v>2010</v>
      </c>
      <c r="I1525" s="1">
        <v>15372</v>
      </c>
      <c r="J1525" s="1">
        <v>25200</v>
      </c>
      <c r="K1525" s="1">
        <v>15372</v>
      </c>
    </row>
    <row r="1526" spans="1:11" x14ac:dyDescent="0.35">
      <c r="A1526">
        <v>729489</v>
      </c>
      <c r="B1526">
        <v>1973549</v>
      </c>
      <c r="C1526" t="str">
        <f>"RED OAK INDEP SCHOOL DISTRICT"</f>
        <v>RED OAK INDEP SCHOOL DISTRICT</v>
      </c>
      <c r="D1526" t="s">
        <v>11</v>
      </c>
      <c r="E1526" t="s">
        <v>1255</v>
      </c>
      <c r="F1526" t="s">
        <v>1256</v>
      </c>
      <c r="G1526">
        <v>75154</v>
      </c>
      <c r="H1526">
        <v>2010</v>
      </c>
      <c r="I1526" s="1">
        <v>3879.6</v>
      </c>
      <c r="J1526" s="1">
        <v>6360</v>
      </c>
      <c r="K1526" s="1">
        <v>3879.6</v>
      </c>
    </row>
    <row r="1527" spans="1:11" x14ac:dyDescent="0.35">
      <c r="A1527">
        <v>733180</v>
      </c>
      <c r="B1527">
        <v>1982693</v>
      </c>
      <c r="C1527" t="str">
        <f>"REDWATER INDEP SCHOOL DISTRICT"</f>
        <v>REDWATER INDEP SCHOOL DISTRICT</v>
      </c>
      <c r="D1527" t="s">
        <v>11</v>
      </c>
      <c r="E1527" t="s">
        <v>1257</v>
      </c>
      <c r="F1527" t="s">
        <v>1258</v>
      </c>
      <c r="G1527">
        <v>75573</v>
      </c>
      <c r="H1527">
        <v>2010</v>
      </c>
      <c r="I1527" s="1">
        <v>2785.28</v>
      </c>
      <c r="J1527" s="1">
        <v>5064.1499999999996</v>
      </c>
      <c r="K1527" s="1">
        <v>2785.28</v>
      </c>
    </row>
    <row r="1528" spans="1:11" x14ac:dyDescent="0.35">
      <c r="A1528">
        <v>732522</v>
      </c>
      <c r="B1528">
        <v>1981037</v>
      </c>
      <c r="C1528" t="str">
        <f>"REFUGIO INDEP SCHOOL DISTRICT"</f>
        <v>REFUGIO INDEP SCHOOL DISTRICT</v>
      </c>
      <c r="D1528" t="s">
        <v>11</v>
      </c>
      <c r="E1528" t="s">
        <v>1259</v>
      </c>
      <c r="F1528" t="s">
        <v>1260</v>
      </c>
      <c r="G1528">
        <v>78377</v>
      </c>
      <c r="H1528">
        <v>2010</v>
      </c>
      <c r="I1528" s="1">
        <v>1218</v>
      </c>
      <c r="J1528" s="1">
        <v>1522.5</v>
      </c>
      <c r="K1528" s="1">
        <v>1218</v>
      </c>
    </row>
    <row r="1529" spans="1:11" x14ac:dyDescent="0.35">
      <c r="A1529">
        <v>732522</v>
      </c>
      <c r="B1529">
        <v>1981026</v>
      </c>
      <c r="C1529" t="str">
        <f>"REFUGIO INDEP SCHOOL DISTRICT"</f>
        <v>REFUGIO INDEP SCHOOL DISTRICT</v>
      </c>
      <c r="D1529" t="s">
        <v>11</v>
      </c>
      <c r="E1529" t="s">
        <v>1259</v>
      </c>
      <c r="F1529" t="s">
        <v>1260</v>
      </c>
      <c r="G1529">
        <v>78377</v>
      </c>
      <c r="H1529">
        <v>2010</v>
      </c>
      <c r="I1529" s="1">
        <v>7200</v>
      </c>
      <c r="J1529" s="1">
        <v>9000</v>
      </c>
      <c r="K1529" s="1">
        <v>6560</v>
      </c>
    </row>
    <row r="1530" spans="1:11" x14ac:dyDescent="0.35">
      <c r="A1530">
        <v>747920</v>
      </c>
      <c r="B1530">
        <v>2075975</v>
      </c>
      <c r="C1530" t="str">
        <f>"REGION-IV ESC"</f>
        <v>REGION-IV ESC</v>
      </c>
      <c r="D1530" t="s">
        <v>11</v>
      </c>
      <c r="E1530" t="s">
        <v>1261</v>
      </c>
      <c r="F1530" t="s">
        <v>29</v>
      </c>
      <c r="G1530">
        <v>77092</v>
      </c>
      <c r="H1530">
        <v>2010</v>
      </c>
      <c r="I1530" s="1">
        <v>29640</v>
      </c>
      <c r="J1530" s="1">
        <v>37050</v>
      </c>
      <c r="K1530" s="1">
        <v>29640</v>
      </c>
    </row>
    <row r="1531" spans="1:11" x14ac:dyDescent="0.35">
      <c r="A1531">
        <v>730035</v>
      </c>
      <c r="B1531">
        <v>2014551</v>
      </c>
      <c r="C1531" t="str">
        <f t="shared" ref="C1531:C1544" si="22">"RESPONSIVE EDUCATION SOLUTION"</f>
        <v>RESPONSIVE EDUCATION SOLUTION</v>
      </c>
      <c r="D1531" t="s">
        <v>11</v>
      </c>
      <c r="E1531" t="s">
        <v>1262</v>
      </c>
      <c r="F1531" t="s">
        <v>1263</v>
      </c>
      <c r="G1531">
        <v>75029</v>
      </c>
      <c r="H1531">
        <v>2010</v>
      </c>
      <c r="I1531" s="1">
        <v>2700</v>
      </c>
      <c r="J1531" s="1">
        <v>4500</v>
      </c>
      <c r="K1531" s="1">
        <v>2700</v>
      </c>
    </row>
    <row r="1532" spans="1:11" x14ac:dyDescent="0.35">
      <c r="A1532">
        <v>730035</v>
      </c>
      <c r="B1532">
        <v>2014642</v>
      </c>
      <c r="C1532" t="str">
        <f t="shared" si="22"/>
        <v>RESPONSIVE EDUCATION SOLUTION</v>
      </c>
      <c r="D1532" t="s">
        <v>11</v>
      </c>
      <c r="E1532" t="s">
        <v>1262</v>
      </c>
      <c r="F1532" t="s">
        <v>1263</v>
      </c>
      <c r="G1532">
        <v>75029</v>
      </c>
      <c r="H1532">
        <v>2010</v>
      </c>
      <c r="I1532" s="1">
        <v>2303.64</v>
      </c>
      <c r="J1532" s="1">
        <v>7678.8</v>
      </c>
      <c r="K1532" s="1">
        <v>2303.64</v>
      </c>
    </row>
    <row r="1533" spans="1:11" x14ac:dyDescent="0.35">
      <c r="A1533">
        <v>730035</v>
      </c>
      <c r="B1533">
        <v>2014815</v>
      </c>
      <c r="C1533" t="str">
        <f t="shared" si="22"/>
        <v>RESPONSIVE EDUCATION SOLUTION</v>
      </c>
      <c r="D1533" t="s">
        <v>11</v>
      </c>
      <c r="E1533" t="s">
        <v>1262</v>
      </c>
      <c r="F1533" t="s">
        <v>1263</v>
      </c>
      <c r="G1533">
        <v>75029</v>
      </c>
      <c r="H1533">
        <v>2010</v>
      </c>
      <c r="I1533" s="1">
        <v>1139.4000000000001</v>
      </c>
      <c r="J1533" s="1">
        <v>2278.8000000000002</v>
      </c>
      <c r="K1533" s="1">
        <v>1139.4000000000001</v>
      </c>
    </row>
    <row r="1534" spans="1:11" x14ac:dyDescent="0.35">
      <c r="A1534">
        <v>730035</v>
      </c>
      <c r="B1534">
        <v>2014862</v>
      </c>
      <c r="C1534" t="str">
        <f t="shared" si="22"/>
        <v>RESPONSIVE EDUCATION SOLUTION</v>
      </c>
      <c r="D1534" t="s">
        <v>11</v>
      </c>
      <c r="E1534" t="s">
        <v>1262</v>
      </c>
      <c r="F1534" t="s">
        <v>1263</v>
      </c>
      <c r="G1534">
        <v>75029</v>
      </c>
      <c r="H1534">
        <v>2010</v>
      </c>
      <c r="I1534" s="1">
        <v>12493.12</v>
      </c>
      <c r="J1534" s="1">
        <v>13881.24</v>
      </c>
      <c r="K1534" s="1">
        <v>12493.08</v>
      </c>
    </row>
    <row r="1535" spans="1:11" x14ac:dyDescent="0.35">
      <c r="A1535">
        <v>730035</v>
      </c>
      <c r="B1535">
        <v>2015080</v>
      </c>
      <c r="C1535" t="str">
        <f t="shared" si="22"/>
        <v>RESPONSIVE EDUCATION SOLUTION</v>
      </c>
      <c r="D1535" t="s">
        <v>11</v>
      </c>
      <c r="E1535" t="s">
        <v>1262</v>
      </c>
      <c r="F1535" t="s">
        <v>1263</v>
      </c>
      <c r="G1535">
        <v>75029</v>
      </c>
      <c r="H1535">
        <v>2010</v>
      </c>
      <c r="I1535" s="1">
        <v>1469.7</v>
      </c>
      <c r="J1535" s="1">
        <v>2939.4</v>
      </c>
      <c r="K1535" s="1">
        <v>1469.7</v>
      </c>
    </row>
    <row r="1536" spans="1:11" x14ac:dyDescent="0.35">
      <c r="A1536">
        <v>730035</v>
      </c>
      <c r="B1536">
        <v>2015008</v>
      </c>
      <c r="C1536" t="str">
        <f t="shared" si="22"/>
        <v>RESPONSIVE EDUCATION SOLUTION</v>
      </c>
      <c r="D1536" t="s">
        <v>11</v>
      </c>
      <c r="E1536" t="s">
        <v>1262</v>
      </c>
      <c r="F1536" t="s">
        <v>1263</v>
      </c>
      <c r="G1536">
        <v>75029</v>
      </c>
      <c r="H1536">
        <v>2010</v>
      </c>
      <c r="I1536" s="1">
        <v>5399.46</v>
      </c>
      <c r="J1536" s="1">
        <v>5999.4</v>
      </c>
      <c r="K1536" s="1">
        <v>5399.46</v>
      </c>
    </row>
    <row r="1537" spans="1:11" x14ac:dyDescent="0.35">
      <c r="A1537">
        <v>730035</v>
      </c>
      <c r="B1537">
        <v>2015026</v>
      </c>
      <c r="C1537" t="str">
        <f t="shared" si="22"/>
        <v>RESPONSIVE EDUCATION SOLUTION</v>
      </c>
      <c r="D1537" t="s">
        <v>11</v>
      </c>
      <c r="E1537" t="s">
        <v>1262</v>
      </c>
      <c r="F1537" t="s">
        <v>1263</v>
      </c>
      <c r="G1537">
        <v>75029</v>
      </c>
      <c r="H1537">
        <v>2010</v>
      </c>
      <c r="I1537" s="1">
        <v>2111.52</v>
      </c>
      <c r="J1537" s="1">
        <v>3059.4</v>
      </c>
      <c r="K1537" s="1">
        <v>2111.52</v>
      </c>
    </row>
    <row r="1538" spans="1:11" x14ac:dyDescent="0.35">
      <c r="A1538">
        <v>730035</v>
      </c>
      <c r="B1538">
        <v>2002951</v>
      </c>
      <c r="C1538" t="str">
        <f t="shared" si="22"/>
        <v>RESPONSIVE EDUCATION SOLUTION</v>
      </c>
      <c r="D1538" t="s">
        <v>11</v>
      </c>
      <c r="E1538" t="s">
        <v>1262</v>
      </c>
      <c r="F1538" t="s">
        <v>1263</v>
      </c>
      <c r="G1538">
        <v>75029</v>
      </c>
      <c r="H1538">
        <v>2010</v>
      </c>
      <c r="I1538" s="1">
        <v>7482.82</v>
      </c>
      <c r="J1538" s="1">
        <v>67356</v>
      </c>
      <c r="K1538" s="1">
        <v>7482.82</v>
      </c>
    </row>
    <row r="1539" spans="1:11" x14ac:dyDescent="0.35">
      <c r="A1539">
        <v>730035</v>
      </c>
      <c r="B1539">
        <v>1999972</v>
      </c>
      <c r="C1539" t="str">
        <f t="shared" si="22"/>
        <v>RESPONSIVE EDUCATION SOLUTION</v>
      </c>
      <c r="D1539" t="s">
        <v>11</v>
      </c>
      <c r="E1539" t="s">
        <v>1262</v>
      </c>
      <c r="F1539" t="s">
        <v>1263</v>
      </c>
      <c r="G1539">
        <v>75029</v>
      </c>
      <c r="H1539">
        <v>2010</v>
      </c>
      <c r="I1539" s="1">
        <v>92427.56</v>
      </c>
      <c r="J1539" s="1">
        <v>214200</v>
      </c>
      <c r="K1539" s="1">
        <v>92427.56</v>
      </c>
    </row>
    <row r="1540" spans="1:11" x14ac:dyDescent="0.35">
      <c r="A1540">
        <v>730035</v>
      </c>
      <c r="B1540">
        <v>2014668</v>
      </c>
      <c r="C1540" t="str">
        <f t="shared" si="22"/>
        <v>RESPONSIVE EDUCATION SOLUTION</v>
      </c>
      <c r="D1540" t="s">
        <v>11</v>
      </c>
      <c r="E1540" t="s">
        <v>1262</v>
      </c>
      <c r="F1540" t="s">
        <v>1263</v>
      </c>
      <c r="G1540">
        <v>75029</v>
      </c>
      <c r="H1540">
        <v>2010</v>
      </c>
      <c r="I1540" s="1">
        <v>479.94</v>
      </c>
      <c r="J1540" s="1">
        <v>959.88</v>
      </c>
      <c r="K1540" s="1">
        <v>479.94</v>
      </c>
    </row>
    <row r="1541" spans="1:11" x14ac:dyDescent="0.35">
      <c r="A1541">
        <v>730035</v>
      </c>
      <c r="B1541">
        <v>2015072</v>
      </c>
      <c r="C1541" t="str">
        <f t="shared" si="22"/>
        <v>RESPONSIVE EDUCATION SOLUTION</v>
      </c>
      <c r="D1541" t="s">
        <v>11</v>
      </c>
      <c r="E1541" t="s">
        <v>1262</v>
      </c>
      <c r="F1541" t="s">
        <v>1263</v>
      </c>
      <c r="G1541">
        <v>75029</v>
      </c>
      <c r="H1541">
        <v>2010</v>
      </c>
      <c r="I1541" s="1">
        <v>603.84</v>
      </c>
      <c r="J1541" s="1">
        <v>754.8</v>
      </c>
      <c r="K1541" s="1">
        <v>603.84</v>
      </c>
    </row>
    <row r="1542" spans="1:11" x14ac:dyDescent="0.35">
      <c r="A1542">
        <v>730035</v>
      </c>
      <c r="B1542">
        <v>2014611</v>
      </c>
      <c r="C1542" t="str">
        <f t="shared" si="22"/>
        <v>RESPONSIVE EDUCATION SOLUTION</v>
      </c>
      <c r="D1542" t="s">
        <v>11</v>
      </c>
      <c r="E1542" t="s">
        <v>1262</v>
      </c>
      <c r="F1542" t="s">
        <v>1263</v>
      </c>
      <c r="G1542">
        <v>75029</v>
      </c>
      <c r="H1542">
        <v>2010</v>
      </c>
      <c r="I1542" s="1">
        <v>0</v>
      </c>
      <c r="J1542" s="1">
        <v>0</v>
      </c>
    </row>
    <row r="1543" spans="1:11" x14ac:dyDescent="0.35">
      <c r="A1543">
        <v>730035</v>
      </c>
      <c r="B1543">
        <v>2014996</v>
      </c>
      <c r="C1543" t="str">
        <f t="shared" si="22"/>
        <v>RESPONSIVE EDUCATION SOLUTION</v>
      </c>
      <c r="D1543" t="s">
        <v>11</v>
      </c>
      <c r="E1543" t="s">
        <v>1262</v>
      </c>
      <c r="F1543" t="s">
        <v>1263</v>
      </c>
      <c r="G1543">
        <v>75029</v>
      </c>
      <c r="H1543">
        <v>2010</v>
      </c>
      <c r="I1543" s="1">
        <v>287.76</v>
      </c>
      <c r="J1543" s="1">
        <v>719.4</v>
      </c>
      <c r="K1543" s="1">
        <v>287.76</v>
      </c>
    </row>
    <row r="1544" spans="1:11" x14ac:dyDescent="0.35">
      <c r="A1544">
        <v>730035</v>
      </c>
      <c r="B1544">
        <v>2015066</v>
      </c>
      <c r="C1544" t="str">
        <f t="shared" si="22"/>
        <v>RESPONSIVE EDUCATION SOLUTION</v>
      </c>
      <c r="D1544" t="s">
        <v>11</v>
      </c>
      <c r="E1544" t="s">
        <v>1262</v>
      </c>
      <c r="F1544" t="s">
        <v>1263</v>
      </c>
      <c r="G1544">
        <v>75029</v>
      </c>
      <c r="H1544">
        <v>2010</v>
      </c>
      <c r="I1544" s="1">
        <v>270</v>
      </c>
      <c r="J1544" s="1">
        <v>540</v>
      </c>
      <c r="K1544" s="1">
        <v>270</v>
      </c>
    </row>
    <row r="1545" spans="1:11" x14ac:dyDescent="0.35">
      <c r="A1545">
        <v>760888</v>
      </c>
      <c r="B1545">
        <v>2059175</v>
      </c>
      <c r="C1545" t="str">
        <f>"RICARDO INDEP SCHOOL DISTRICT"</f>
        <v>RICARDO INDEP SCHOOL DISTRICT</v>
      </c>
      <c r="D1545" t="s">
        <v>11</v>
      </c>
      <c r="E1545" t="s">
        <v>1264</v>
      </c>
      <c r="F1545" t="s">
        <v>814</v>
      </c>
      <c r="G1545">
        <v>78363</v>
      </c>
      <c r="H1545">
        <v>2010</v>
      </c>
      <c r="I1545" s="1">
        <v>11760</v>
      </c>
      <c r="J1545" s="1">
        <v>14700</v>
      </c>
      <c r="K1545" s="1">
        <v>9296</v>
      </c>
    </row>
    <row r="1546" spans="1:11" x14ac:dyDescent="0.35">
      <c r="A1546">
        <v>727149</v>
      </c>
      <c r="B1546">
        <v>1968200</v>
      </c>
      <c r="C1546" t="str">
        <f>"RICE CONS INDEP SCHOOL DIST"</f>
        <v>RICE CONS INDEP SCHOOL DIST</v>
      </c>
      <c r="D1546" t="s">
        <v>11</v>
      </c>
      <c r="E1546" t="s">
        <v>1265</v>
      </c>
      <c r="F1546" t="s">
        <v>1266</v>
      </c>
      <c r="G1546">
        <v>77412</v>
      </c>
      <c r="H1546">
        <v>2010</v>
      </c>
      <c r="I1546" s="1">
        <v>16740.86</v>
      </c>
      <c r="J1546" s="1">
        <v>19929.599999999999</v>
      </c>
      <c r="K1546" s="1">
        <v>16740.86</v>
      </c>
    </row>
    <row r="1547" spans="1:11" x14ac:dyDescent="0.35">
      <c r="A1547">
        <v>763753</v>
      </c>
      <c r="B1547">
        <v>2063744</v>
      </c>
      <c r="C1547" t="str">
        <f>"RICE INDEP SCHOOL DISTRICT"</f>
        <v>RICE INDEP SCHOOL DISTRICT</v>
      </c>
      <c r="D1547" t="s">
        <v>11</v>
      </c>
      <c r="E1547" t="s">
        <v>1267</v>
      </c>
      <c r="F1547" t="s">
        <v>1268</v>
      </c>
      <c r="G1547">
        <v>75155</v>
      </c>
      <c r="H1547">
        <v>2010</v>
      </c>
      <c r="I1547" s="1">
        <v>3515.56</v>
      </c>
      <c r="J1547" s="1">
        <v>4135.95</v>
      </c>
      <c r="K1547" s="1">
        <v>2988.23</v>
      </c>
    </row>
    <row r="1548" spans="1:11" x14ac:dyDescent="0.35">
      <c r="A1548">
        <v>757049</v>
      </c>
      <c r="B1548">
        <v>2045743</v>
      </c>
      <c r="C1548" t="str">
        <f>"RICE INDEP SCHOOL DISTRICT"</f>
        <v>RICE INDEP SCHOOL DISTRICT</v>
      </c>
      <c r="D1548" t="s">
        <v>11</v>
      </c>
      <c r="E1548" t="s">
        <v>1267</v>
      </c>
      <c r="F1548" t="s">
        <v>1268</v>
      </c>
      <c r="G1548">
        <v>75155</v>
      </c>
      <c r="H1548">
        <v>2010</v>
      </c>
      <c r="I1548" s="1">
        <v>17850</v>
      </c>
      <c r="J1548" s="1">
        <v>21000</v>
      </c>
      <c r="K1548" s="1">
        <v>17850</v>
      </c>
    </row>
    <row r="1549" spans="1:11" x14ac:dyDescent="0.35">
      <c r="A1549">
        <v>767195</v>
      </c>
      <c r="B1549">
        <v>2074429</v>
      </c>
      <c r="C1549" t="str">
        <f>"RICHARD MILBURN ACADEMY"</f>
        <v>RICHARD MILBURN ACADEMY</v>
      </c>
      <c r="D1549" t="s">
        <v>11</v>
      </c>
      <c r="E1549" t="s">
        <v>1269</v>
      </c>
      <c r="F1549" t="s">
        <v>1270</v>
      </c>
      <c r="G1549">
        <v>78123</v>
      </c>
      <c r="H1549">
        <v>2010</v>
      </c>
      <c r="I1549" s="1">
        <v>0</v>
      </c>
      <c r="J1549" s="1">
        <v>0</v>
      </c>
    </row>
    <row r="1550" spans="1:11" x14ac:dyDescent="0.35">
      <c r="A1550">
        <v>767195</v>
      </c>
      <c r="B1550">
        <v>2074245</v>
      </c>
      <c r="C1550" t="str">
        <f>"RICHARD MILBURN ACADEMY"</f>
        <v>RICHARD MILBURN ACADEMY</v>
      </c>
      <c r="D1550" t="s">
        <v>11</v>
      </c>
      <c r="E1550" t="s">
        <v>1269</v>
      </c>
      <c r="F1550" t="s">
        <v>1270</v>
      </c>
      <c r="G1550">
        <v>78123</v>
      </c>
      <c r="H1550">
        <v>2010</v>
      </c>
      <c r="I1550" s="1">
        <v>3168</v>
      </c>
      <c r="J1550" s="1">
        <v>3960</v>
      </c>
    </row>
    <row r="1551" spans="1:11" x14ac:dyDescent="0.35">
      <c r="A1551">
        <v>767195</v>
      </c>
      <c r="B1551">
        <v>2074213</v>
      </c>
      <c r="C1551" t="str">
        <f>"RICHARD MILBURN ACADEMY"</f>
        <v>RICHARD MILBURN ACADEMY</v>
      </c>
      <c r="D1551" t="s">
        <v>11</v>
      </c>
      <c r="E1551" t="s">
        <v>1269</v>
      </c>
      <c r="F1551" t="s">
        <v>1270</v>
      </c>
      <c r="G1551">
        <v>78123</v>
      </c>
      <c r="H1551">
        <v>2010</v>
      </c>
      <c r="I1551" s="1">
        <v>0</v>
      </c>
      <c r="J1551" s="1">
        <v>0</v>
      </c>
    </row>
    <row r="1552" spans="1:11" x14ac:dyDescent="0.35">
      <c r="A1552">
        <v>745226</v>
      </c>
      <c r="B1552">
        <v>2011338</v>
      </c>
      <c r="C1552" t="str">
        <f>"RICHARDS INDEP SCHOOL DISTRICT"</f>
        <v>RICHARDS INDEP SCHOOL DISTRICT</v>
      </c>
      <c r="D1552" t="s">
        <v>11</v>
      </c>
      <c r="E1552" t="s">
        <v>1271</v>
      </c>
      <c r="F1552" t="s">
        <v>1272</v>
      </c>
      <c r="G1552">
        <v>77873</v>
      </c>
      <c r="H1552">
        <v>2010</v>
      </c>
      <c r="I1552" s="1">
        <v>12600</v>
      </c>
      <c r="J1552" s="1">
        <v>15750</v>
      </c>
      <c r="K1552" s="1">
        <v>12600</v>
      </c>
    </row>
    <row r="1553" spans="1:11" x14ac:dyDescent="0.35">
      <c r="A1553">
        <v>745360</v>
      </c>
      <c r="B1553">
        <v>2011710</v>
      </c>
      <c r="C1553" t="str">
        <f>"RICHARDS INDEP SCHOOL DISTRICT"</f>
        <v>RICHARDS INDEP SCHOOL DISTRICT</v>
      </c>
      <c r="D1553" t="s">
        <v>11</v>
      </c>
      <c r="E1553" t="s">
        <v>1271</v>
      </c>
      <c r="F1553" t="s">
        <v>1272</v>
      </c>
      <c r="G1553">
        <v>77873</v>
      </c>
      <c r="H1553">
        <v>2010</v>
      </c>
      <c r="I1553" s="1">
        <v>6700.03</v>
      </c>
      <c r="J1553" s="1">
        <v>8375.0400000000009</v>
      </c>
      <c r="K1553" s="1">
        <v>6700.03</v>
      </c>
    </row>
    <row r="1554" spans="1:11" x14ac:dyDescent="0.35">
      <c r="A1554">
        <v>716535</v>
      </c>
      <c r="B1554">
        <v>1949248</v>
      </c>
      <c r="C1554" t="str">
        <f>"RICHLAND SPRINGS IND SCH DIST"</f>
        <v>RICHLAND SPRINGS IND SCH DIST</v>
      </c>
      <c r="D1554" t="s">
        <v>11</v>
      </c>
      <c r="E1554" t="s">
        <v>1273</v>
      </c>
      <c r="F1554" t="s">
        <v>1274</v>
      </c>
      <c r="G1554">
        <v>76871</v>
      </c>
      <c r="H1554">
        <v>2010</v>
      </c>
      <c r="I1554" s="1">
        <v>0</v>
      </c>
      <c r="J1554" s="1">
        <v>0</v>
      </c>
    </row>
    <row r="1555" spans="1:11" x14ac:dyDescent="0.35">
      <c r="A1555">
        <v>740320</v>
      </c>
      <c r="B1555">
        <v>2003147</v>
      </c>
      <c r="C1555" t="str">
        <f>"RIESEL INDEP SCHOOL DISTRICT"</f>
        <v>RIESEL INDEP SCHOOL DISTRICT</v>
      </c>
      <c r="D1555" t="s">
        <v>11</v>
      </c>
      <c r="E1555" t="s">
        <v>1275</v>
      </c>
      <c r="F1555" t="s">
        <v>1276</v>
      </c>
      <c r="G1555">
        <v>76682</v>
      </c>
      <c r="H1555">
        <v>2010</v>
      </c>
      <c r="I1555" s="1">
        <v>13266</v>
      </c>
      <c r="J1555" s="1">
        <v>24120</v>
      </c>
      <c r="K1555" s="1">
        <v>13266</v>
      </c>
    </row>
    <row r="1556" spans="1:11" x14ac:dyDescent="0.35">
      <c r="A1556">
        <v>740341</v>
      </c>
      <c r="B1556">
        <v>1999330</v>
      </c>
      <c r="C1556" t="str">
        <f>"RIO GRANDE CITY SCHOOL DIST"</f>
        <v>RIO GRANDE CITY SCHOOL DIST</v>
      </c>
      <c r="D1556" t="s">
        <v>11</v>
      </c>
      <c r="E1556" t="s">
        <v>1277</v>
      </c>
      <c r="F1556" t="s">
        <v>1278</v>
      </c>
      <c r="G1556">
        <v>78582</v>
      </c>
      <c r="H1556">
        <v>2010</v>
      </c>
      <c r="I1556" s="1">
        <v>45570.38</v>
      </c>
      <c r="J1556" s="1">
        <v>50633.760000000002</v>
      </c>
      <c r="K1556" s="1">
        <v>45570.38</v>
      </c>
    </row>
    <row r="1557" spans="1:11" x14ac:dyDescent="0.35">
      <c r="A1557">
        <v>761417</v>
      </c>
      <c r="B1557">
        <v>2057062</v>
      </c>
      <c r="C1557" t="str">
        <f>"RIO HONDO INDEP SCHOOL DIST"</f>
        <v>RIO HONDO INDEP SCHOOL DIST</v>
      </c>
      <c r="D1557" t="s">
        <v>11</v>
      </c>
      <c r="E1557" t="s">
        <v>1279</v>
      </c>
      <c r="F1557" t="s">
        <v>1280</v>
      </c>
      <c r="G1557">
        <v>78583</v>
      </c>
      <c r="H1557">
        <v>2010</v>
      </c>
      <c r="I1557" s="1">
        <v>12308.76</v>
      </c>
      <c r="J1557" s="1">
        <v>13676.4</v>
      </c>
      <c r="K1557" s="1">
        <v>12308.76</v>
      </c>
    </row>
    <row r="1558" spans="1:11" x14ac:dyDescent="0.35">
      <c r="A1558">
        <v>760222</v>
      </c>
      <c r="B1558">
        <v>2054162</v>
      </c>
      <c r="C1558" t="str">
        <f>"RIO HONDO INDEP SCHOOL DIST"</f>
        <v>RIO HONDO INDEP SCHOOL DIST</v>
      </c>
      <c r="D1558" t="s">
        <v>11</v>
      </c>
      <c r="E1558" t="s">
        <v>1279</v>
      </c>
      <c r="F1558" t="s">
        <v>1280</v>
      </c>
      <c r="G1558">
        <v>78583</v>
      </c>
      <c r="H1558">
        <v>2010</v>
      </c>
      <c r="I1558" s="1">
        <v>14580</v>
      </c>
      <c r="J1558" s="1">
        <v>16200</v>
      </c>
    </row>
    <row r="1559" spans="1:11" x14ac:dyDescent="0.35">
      <c r="A1559">
        <v>719987</v>
      </c>
      <c r="B1559">
        <v>1974865</v>
      </c>
      <c r="C1559" t="str">
        <f>"RIO VISTA INDEPENDENT SCHOOL DISTRICT"</f>
        <v>RIO VISTA INDEPENDENT SCHOOL DISTRICT</v>
      </c>
      <c r="D1559" t="s">
        <v>11</v>
      </c>
      <c r="E1559" t="s">
        <v>1281</v>
      </c>
      <c r="F1559" t="s">
        <v>1282</v>
      </c>
      <c r="G1559">
        <v>76093</v>
      </c>
      <c r="H1559">
        <v>2010</v>
      </c>
      <c r="I1559" s="1">
        <v>2321.6999999999998</v>
      </c>
      <c r="J1559" s="1">
        <v>3270</v>
      </c>
      <c r="K1559" s="1">
        <v>2321.6999999999998</v>
      </c>
    </row>
    <row r="1560" spans="1:11" x14ac:dyDescent="0.35">
      <c r="A1560">
        <v>719987</v>
      </c>
      <c r="B1560">
        <v>1974857</v>
      </c>
      <c r="C1560" t="str">
        <f>"RIO VISTA INDEPENDENT SCHOOL DISTRICT"</f>
        <v>RIO VISTA INDEPENDENT SCHOOL DISTRICT</v>
      </c>
      <c r="D1560" t="s">
        <v>11</v>
      </c>
      <c r="E1560" t="s">
        <v>1281</v>
      </c>
      <c r="F1560" t="s">
        <v>1282</v>
      </c>
      <c r="G1560">
        <v>76093</v>
      </c>
      <c r="H1560">
        <v>2010</v>
      </c>
      <c r="I1560" s="1">
        <v>14369.58</v>
      </c>
      <c r="J1560" s="1">
        <v>20238.84</v>
      </c>
      <c r="K1560" s="1">
        <v>14369.18</v>
      </c>
    </row>
    <row r="1561" spans="1:11" x14ac:dyDescent="0.35">
      <c r="A1561">
        <v>719987</v>
      </c>
      <c r="B1561">
        <v>1974856</v>
      </c>
      <c r="C1561" t="str">
        <f>"RIO VISTA INDEPENDENT SCHOOL DISTRICT"</f>
        <v>RIO VISTA INDEPENDENT SCHOOL DISTRICT</v>
      </c>
      <c r="D1561" t="s">
        <v>11</v>
      </c>
      <c r="E1561" t="s">
        <v>1281</v>
      </c>
      <c r="F1561" t="s">
        <v>1282</v>
      </c>
      <c r="G1561">
        <v>76093</v>
      </c>
      <c r="H1561">
        <v>2010</v>
      </c>
      <c r="I1561" s="1">
        <v>0</v>
      </c>
      <c r="J1561" s="1">
        <v>0</v>
      </c>
    </row>
    <row r="1562" spans="1:11" x14ac:dyDescent="0.35">
      <c r="A1562">
        <v>757740</v>
      </c>
      <c r="B1562">
        <v>2047410</v>
      </c>
      <c r="C1562" t="str">
        <f>"RISING STAR INDEPENDENT SCHOOL DISTRICT"</f>
        <v>RISING STAR INDEPENDENT SCHOOL DISTRICT</v>
      </c>
      <c r="D1562" t="s">
        <v>11</v>
      </c>
      <c r="E1562" t="s">
        <v>1283</v>
      </c>
      <c r="F1562" t="s">
        <v>1284</v>
      </c>
      <c r="G1562">
        <v>76471</v>
      </c>
      <c r="H1562">
        <v>2010</v>
      </c>
      <c r="I1562" s="1">
        <v>912</v>
      </c>
      <c r="J1562" s="1">
        <v>1140</v>
      </c>
      <c r="K1562" s="1">
        <v>912</v>
      </c>
    </row>
    <row r="1563" spans="1:11" x14ac:dyDescent="0.35">
      <c r="A1563">
        <v>721120</v>
      </c>
      <c r="B1563">
        <v>1956269</v>
      </c>
      <c r="C1563" t="str">
        <f>"RIVER ROAD INDEP SCHOOL DIST"</f>
        <v>RIVER ROAD INDEP SCHOOL DIST</v>
      </c>
      <c r="D1563" t="s">
        <v>11</v>
      </c>
      <c r="E1563" t="s">
        <v>1285</v>
      </c>
      <c r="F1563" t="s">
        <v>50</v>
      </c>
      <c r="G1563">
        <v>79108</v>
      </c>
      <c r="H1563">
        <v>2010</v>
      </c>
      <c r="I1563" s="1">
        <v>21378.6</v>
      </c>
      <c r="J1563" s="1">
        <v>28890</v>
      </c>
      <c r="K1563" s="1">
        <v>16753.599999999999</v>
      </c>
    </row>
    <row r="1564" spans="1:11" x14ac:dyDescent="0.35">
      <c r="A1564">
        <v>719892</v>
      </c>
      <c r="B1564">
        <v>1954081</v>
      </c>
      <c r="C1564" t="str">
        <f>"RIVER ROAD INDEP SCHOOL DIST"</f>
        <v>RIVER ROAD INDEP SCHOOL DIST</v>
      </c>
      <c r="D1564" t="s">
        <v>11</v>
      </c>
      <c r="E1564" t="s">
        <v>1285</v>
      </c>
      <c r="F1564" t="s">
        <v>50</v>
      </c>
      <c r="G1564">
        <v>79108</v>
      </c>
      <c r="H1564">
        <v>2010</v>
      </c>
      <c r="I1564" s="1">
        <v>2737.97</v>
      </c>
      <c r="J1564" s="1">
        <v>3699.96</v>
      </c>
      <c r="K1564" s="1">
        <v>2737.97</v>
      </c>
    </row>
    <row r="1565" spans="1:11" x14ac:dyDescent="0.35">
      <c r="A1565">
        <v>713684</v>
      </c>
      <c r="B1565">
        <v>1949941</v>
      </c>
      <c r="C1565" t="str">
        <f>"RIVERCREST INDEP SCHOOL DIST"</f>
        <v>RIVERCREST INDEP SCHOOL DIST</v>
      </c>
      <c r="D1565" t="s">
        <v>11</v>
      </c>
      <c r="E1565" t="s">
        <v>1286</v>
      </c>
      <c r="F1565" t="s">
        <v>1287</v>
      </c>
      <c r="G1565">
        <v>75417</v>
      </c>
      <c r="H1565">
        <v>2010</v>
      </c>
      <c r="I1565" s="1">
        <v>1788.08</v>
      </c>
      <c r="J1565" s="1">
        <v>2322.1799999999998</v>
      </c>
      <c r="K1565" s="1">
        <v>1788.08</v>
      </c>
    </row>
    <row r="1566" spans="1:11" x14ac:dyDescent="0.35">
      <c r="A1566">
        <v>750014</v>
      </c>
      <c r="B1566">
        <v>2028234</v>
      </c>
      <c r="C1566" t="str">
        <f>"RIVIERA INDEP SCHOOL DISTRICT"</f>
        <v>RIVIERA INDEP SCHOOL DISTRICT</v>
      </c>
      <c r="D1566" t="s">
        <v>11</v>
      </c>
      <c r="E1566" t="s">
        <v>1288</v>
      </c>
      <c r="F1566" t="s">
        <v>1289</v>
      </c>
      <c r="G1566">
        <v>78379</v>
      </c>
      <c r="H1566">
        <v>2010</v>
      </c>
      <c r="I1566" s="1">
        <v>16324.7</v>
      </c>
      <c r="J1566" s="1">
        <v>20405.88</v>
      </c>
      <c r="K1566" s="1">
        <v>16324.7</v>
      </c>
    </row>
    <row r="1567" spans="1:11" x14ac:dyDescent="0.35">
      <c r="A1567">
        <v>750014</v>
      </c>
      <c r="B1567">
        <v>2027963</v>
      </c>
      <c r="C1567" t="str">
        <f>"RIVIERA INDEP SCHOOL DISTRICT"</f>
        <v>RIVIERA INDEP SCHOOL DISTRICT</v>
      </c>
      <c r="D1567" t="s">
        <v>11</v>
      </c>
      <c r="E1567" t="s">
        <v>1288</v>
      </c>
      <c r="F1567" t="s">
        <v>1289</v>
      </c>
      <c r="G1567">
        <v>78379</v>
      </c>
      <c r="H1567">
        <v>2010</v>
      </c>
      <c r="I1567" s="1">
        <v>400</v>
      </c>
      <c r="J1567" s="1">
        <v>500</v>
      </c>
      <c r="K1567" s="1">
        <v>320</v>
      </c>
    </row>
    <row r="1568" spans="1:11" x14ac:dyDescent="0.35">
      <c r="A1568">
        <v>750014</v>
      </c>
      <c r="B1568">
        <v>2027895</v>
      </c>
      <c r="C1568" t="str">
        <f>"RIVIERA INDEP SCHOOL DISTRICT"</f>
        <v>RIVIERA INDEP SCHOOL DISTRICT</v>
      </c>
      <c r="D1568" t="s">
        <v>11</v>
      </c>
      <c r="E1568" t="s">
        <v>1288</v>
      </c>
      <c r="F1568" t="s">
        <v>1289</v>
      </c>
      <c r="G1568">
        <v>78379</v>
      </c>
      <c r="H1568">
        <v>2010</v>
      </c>
      <c r="I1568" s="1">
        <v>1100</v>
      </c>
      <c r="J1568" s="1">
        <v>1375</v>
      </c>
      <c r="K1568" s="1">
        <v>880</v>
      </c>
    </row>
    <row r="1569" spans="1:11" x14ac:dyDescent="0.35">
      <c r="A1569">
        <v>749401</v>
      </c>
      <c r="B1569">
        <v>2026236</v>
      </c>
      <c r="C1569" t="str">
        <f>"ROBINSON INDEP SCHOOL DISTRICT"</f>
        <v>ROBINSON INDEP SCHOOL DISTRICT</v>
      </c>
      <c r="D1569" t="s">
        <v>11</v>
      </c>
      <c r="E1569" t="s">
        <v>1290</v>
      </c>
      <c r="F1569" t="s">
        <v>303</v>
      </c>
      <c r="G1569">
        <v>76706</v>
      </c>
      <c r="H1569">
        <v>2010</v>
      </c>
      <c r="I1569" s="1">
        <v>10152</v>
      </c>
      <c r="J1569" s="1">
        <v>21600</v>
      </c>
      <c r="K1569" s="1">
        <v>10152</v>
      </c>
    </row>
    <row r="1570" spans="1:11" x14ac:dyDescent="0.35">
      <c r="A1570">
        <v>742707</v>
      </c>
      <c r="B1570">
        <v>2005293</v>
      </c>
      <c r="C1570" t="str">
        <f>"ROBSTOWN INDEP SCHOOL DISTRICT"</f>
        <v>ROBSTOWN INDEP SCHOOL DISTRICT</v>
      </c>
      <c r="D1570" t="s">
        <v>11</v>
      </c>
      <c r="E1570" t="s">
        <v>1291</v>
      </c>
      <c r="F1570" t="s">
        <v>1292</v>
      </c>
      <c r="G1570">
        <v>78380</v>
      </c>
      <c r="H1570">
        <v>2010</v>
      </c>
      <c r="I1570" s="1">
        <v>900</v>
      </c>
      <c r="J1570" s="1">
        <v>118600</v>
      </c>
      <c r="K1570" s="1">
        <v>0</v>
      </c>
    </row>
    <row r="1571" spans="1:11" x14ac:dyDescent="0.35">
      <c r="A1571">
        <v>726292</v>
      </c>
      <c r="B1571">
        <v>1966639</v>
      </c>
      <c r="C1571" t="str">
        <f>"ROCHELLE SCHOOL DISTRICT"</f>
        <v>ROCHELLE SCHOOL DISTRICT</v>
      </c>
      <c r="D1571" t="s">
        <v>11</v>
      </c>
      <c r="E1571" t="s">
        <v>1293</v>
      </c>
      <c r="F1571" t="s">
        <v>1294</v>
      </c>
      <c r="G1571">
        <v>76872</v>
      </c>
      <c r="H1571">
        <v>2010</v>
      </c>
      <c r="I1571" s="1">
        <v>0</v>
      </c>
      <c r="J1571" s="1">
        <v>0</v>
      </c>
    </row>
    <row r="1572" spans="1:11" x14ac:dyDescent="0.35">
      <c r="A1572">
        <v>747316</v>
      </c>
      <c r="B1572">
        <v>2017470</v>
      </c>
      <c r="C1572" t="str">
        <f t="shared" ref="C1572:C1577" si="23">"ROCKDALE INDEP SCHOOL DISTRICT"</f>
        <v>ROCKDALE INDEP SCHOOL DISTRICT</v>
      </c>
      <c r="D1572" t="s">
        <v>11</v>
      </c>
      <c r="E1572" t="s">
        <v>1295</v>
      </c>
      <c r="F1572" t="s">
        <v>1296</v>
      </c>
      <c r="G1572">
        <v>76567</v>
      </c>
      <c r="H1572">
        <v>2010</v>
      </c>
      <c r="I1572" s="1">
        <v>5306.69</v>
      </c>
      <c r="J1572" s="1">
        <v>6393.6</v>
      </c>
      <c r="K1572" s="1">
        <v>5166.91</v>
      </c>
    </row>
    <row r="1573" spans="1:11" x14ac:dyDescent="0.35">
      <c r="A1573">
        <v>744545</v>
      </c>
      <c r="B1573">
        <v>2010152</v>
      </c>
      <c r="C1573" t="str">
        <f t="shared" si="23"/>
        <v>ROCKDALE INDEP SCHOOL DISTRICT</v>
      </c>
      <c r="D1573" t="s">
        <v>11</v>
      </c>
      <c r="E1573" t="s">
        <v>1295</v>
      </c>
      <c r="F1573" t="s">
        <v>1296</v>
      </c>
      <c r="G1573">
        <v>76567</v>
      </c>
      <c r="H1573">
        <v>2010</v>
      </c>
      <c r="I1573" s="1">
        <v>23555.4</v>
      </c>
      <c r="J1573" s="1">
        <v>28380</v>
      </c>
      <c r="K1573" s="1">
        <v>23555.4</v>
      </c>
    </row>
    <row r="1574" spans="1:11" x14ac:dyDescent="0.35">
      <c r="A1574">
        <v>745459</v>
      </c>
      <c r="B1574">
        <v>2011963</v>
      </c>
      <c r="C1574" t="str">
        <f t="shared" si="23"/>
        <v>ROCKDALE INDEP SCHOOL DISTRICT</v>
      </c>
      <c r="D1574" t="s">
        <v>11</v>
      </c>
      <c r="E1574" t="s">
        <v>1295</v>
      </c>
      <c r="F1574" t="s">
        <v>1296</v>
      </c>
      <c r="G1574">
        <v>76567</v>
      </c>
      <c r="H1574">
        <v>2010</v>
      </c>
      <c r="I1574" s="1">
        <v>3884.4</v>
      </c>
      <c r="J1574" s="1">
        <v>4680</v>
      </c>
      <c r="K1574" s="1">
        <v>3884.4</v>
      </c>
    </row>
    <row r="1575" spans="1:11" x14ac:dyDescent="0.35">
      <c r="A1575">
        <v>747793</v>
      </c>
      <c r="B1575">
        <v>2018608</v>
      </c>
      <c r="C1575" t="str">
        <f t="shared" si="23"/>
        <v>ROCKDALE INDEP SCHOOL DISTRICT</v>
      </c>
      <c r="D1575" t="s">
        <v>11</v>
      </c>
      <c r="E1575" t="s">
        <v>1295</v>
      </c>
      <c r="F1575" t="s">
        <v>1296</v>
      </c>
      <c r="G1575">
        <v>76567</v>
      </c>
      <c r="H1575">
        <v>2010</v>
      </c>
      <c r="I1575" s="1">
        <v>7769.1</v>
      </c>
      <c r="J1575" s="1">
        <v>9360.36</v>
      </c>
      <c r="K1575" s="1">
        <v>7769.1</v>
      </c>
    </row>
    <row r="1576" spans="1:11" x14ac:dyDescent="0.35">
      <c r="A1576">
        <v>746868</v>
      </c>
      <c r="B1576">
        <v>2016094</v>
      </c>
      <c r="C1576" t="str">
        <f t="shared" si="23"/>
        <v>ROCKDALE INDEP SCHOOL DISTRICT</v>
      </c>
      <c r="D1576" t="s">
        <v>11</v>
      </c>
      <c r="E1576" t="s">
        <v>1295</v>
      </c>
      <c r="F1576" t="s">
        <v>1296</v>
      </c>
      <c r="G1576">
        <v>76567</v>
      </c>
      <c r="H1576">
        <v>2010</v>
      </c>
      <c r="I1576" s="1">
        <v>0</v>
      </c>
      <c r="J1576" s="1">
        <v>0</v>
      </c>
    </row>
    <row r="1577" spans="1:11" x14ac:dyDescent="0.35">
      <c r="A1577">
        <v>745333</v>
      </c>
      <c r="B1577">
        <v>2011618</v>
      </c>
      <c r="C1577" t="str">
        <f t="shared" si="23"/>
        <v>ROCKDALE INDEP SCHOOL DISTRICT</v>
      </c>
      <c r="D1577" t="s">
        <v>11</v>
      </c>
      <c r="E1577" t="s">
        <v>1295</v>
      </c>
      <c r="F1577" t="s">
        <v>1296</v>
      </c>
      <c r="G1577">
        <v>76567</v>
      </c>
      <c r="H1577">
        <v>2010</v>
      </c>
      <c r="I1577" s="1">
        <v>398.3</v>
      </c>
      <c r="J1577" s="1">
        <v>479.88</v>
      </c>
      <c r="K1577" s="1">
        <v>398.3</v>
      </c>
    </row>
    <row r="1578" spans="1:11" x14ac:dyDescent="0.35">
      <c r="A1578">
        <v>720100</v>
      </c>
      <c r="B1578">
        <v>2010882</v>
      </c>
      <c r="C1578" t="str">
        <f>"ROCKWALL INDEP SCHOOL DISTRICT"</f>
        <v>ROCKWALL INDEP SCHOOL DISTRICT</v>
      </c>
      <c r="D1578" t="s">
        <v>11</v>
      </c>
      <c r="E1578" t="s">
        <v>1297</v>
      </c>
      <c r="F1578" t="s">
        <v>1298</v>
      </c>
      <c r="G1578">
        <v>75087</v>
      </c>
      <c r="H1578">
        <v>2010</v>
      </c>
      <c r="I1578" s="1">
        <v>44893.440000000002</v>
      </c>
      <c r="J1578" s="1">
        <v>93528</v>
      </c>
      <c r="K1578" s="1">
        <v>44893.440000000002</v>
      </c>
    </row>
    <row r="1579" spans="1:11" x14ac:dyDescent="0.35">
      <c r="A1579">
        <v>720100</v>
      </c>
      <c r="B1579">
        <v>2035568</v>
      </c>
      <c r="C1579" t="str">
        <f>"ROCKWALL INDEP SCHOOL DISTRICT"</f>
        <v>ROCKWALL INDEP SCHOOL DISTRICT</v>
      </c>
      <c r="D1579" t="s">
        <v>11</v>
      </c>
      <c r="E1579" t="s">
        <v>1297</v>
      </c>
      <c r="F1579" t="s">
        <v>1298</v>
      </c>
      <c r="G1579">
        <v>75087</v>
      </c>
      <c r="H1579">
        <v>2010</v>
      </c>
      <c r="I1579" s="1">
        <v>27417.599999999999</v>
      </c>
      <c r="J1579" s="1">
        <v>57120</v>
      </c>
      <c r="K1579" s="1">
        <v>11361.38</v>
      </c>
    </row>
    <row r="1580" spans="1:11" x14ac:dyDescent="0.35">
      <c r="A1580">
        <v>769457</v>
      </c>
      <c r="B1580">
        <v>2082726</v>
      </c>
      <c r="C1580" t="str">
        <f>"ROGERS INDEP SCHOOL DISTRICT"</f>
        <v>ROGERS INDEP SCHOOL DISTRICT</v>
      </c>
      <c r="D1580" t="s">
        <v>11</v>
      </c>
      <c r="E1580" t="s">
        <v>1299</v>
      </c>
      <c r="F1580" t="s">
        <v>1300</v>
      </c>
      <c r="G1580">
        <v>76569</v>
      </c>
      <c r="H1580">
        <v>2010</v>
      </c>
      <c r="I1580" s="1">
        <v>15504</v>
      </c>
      <c r="J1580" s="1">
        <v>22800</v>
      </c>
      <c r="K1580" s="1">
        <v>15504</v>
      </c>
    </row>
    <row r="1581" spans="1:11" x14ac:dyDescent="0.35">
      <c r="A1581">
        <v>753184</v>
      </c>
      <c r="B1581">
        <v>2056139</v>
      </c>
      <c r="C1581" t="str">
        <f>"ROMA INDEP SCHOOL DISTRICT"</f>
        <v>ROMA INDEP SCHOOL DISTRICT</v>
      </c>
      <c r="D1581" t="s">
        <v>11</v>
      </c>
      <c r="E1581" t="s">
        <v>1301</v>
      </c>
      <c r="F1581" t="s">
        <v>1302</v>
      </c>
      <c r="G1581">
        <v>78584</v>
      </c>
      <c r="H1581">
        <v>2010</v>
      </c>
      <c r="I1581" s="1">
        <v>53460</v>
      </c>
      <c r="J1581" s="1">
        <v>59400</v>
      </c>
    </row>
    <row r="1582" spans="1:11" x14ac:dyDescent="0.35">
      <c r="A1582">
        <v>753184</v>
      </c>
      <c r="B1582">
        <v>2037889</v>
      </c>
      <c r="C1582" t="str">
        <f>"ROMA INDEP SCHOOL DISTRICT"</f>
        <v>ROMA INDEP SCHOOL DISTRICT</v>
      </c>
      <c r="D1582" t="s">
        <v>11</v>
      </c>
      <c r="E1582" t="s">
        <v>1301</v>
      </c>
      <c r="F1582" t="s">
        <v>1302</v>
      </c>
      <c r="G1582">
        <v>78584</v>
      </c>
      <c r="H1582">
        <v>2010</v>
      </c>
      <c r="I1582" s="1">
        <v>49080.69</v>
      </c>
      <c r="J1582" s="1">
        <v>54534.1</v>
      </c>
      <c r="K1582" s="1">
        <v>49080.69</v>
      </c>
    </row>
    <row r="1583" spans="1:11" x14ac:dyDescent="0.35">
      <c r="A1583">
        <v>753184</v>
      </c>
      <c r="B1583">
        <v>2054356</v>
      </c>
      <c r="C1583" t="str">
        <f>"ROMA INDEP SCHOOL DISTRICT"</f>
        <v>ROMA INDEP SCHOOL DISTRICT</v>
      </c>
      <c r="D1583" t="s">
        <v>11</v>
      </c>
      <c r="E1583" t="s">
        <v>1301</v>
      </c>
      <c r="F1583" t="s">
        <v>1302</v>
      </c>
      <c r="G1583">
        <v>78584</v>
      </c>
      <c r="H1583">
        <v>2010</v>
      </c>
      <c r="I1583" s="1">
        <v>20995.200000000001</v>
      </c>
      <c r="J1583" s="1">
        <v>23328</v>
      </c>
      <c r="K1583" s="1">
        <v>6069.6</v>
      </c>
    </row>
    <row r="1584" spans="1:11" x14ac:dyDescent="0.35">
      <c r="A1584">
        <v>753184</v>
      </c>
      <c r="B1584">
        <v>2056016</v>
      </c>
      <c r="C1584" t="str">
        <f>"ROMA INDEP SCHOOL DISTRICT"</f>
        <v>ROMA INDEP SCHOOL DISTRICT</v>
      </c>
      <c r="D1584" t="s">
        <v>11</v>
      </c>
      <c r="E1584" t="s">
        <v>1301</v>
      </c>
      <c r="F1584" t="s">
        <v>1302</v>
      </c>
      <c r="G1584">
        <v>78584</v>
      </c>
      <c r="H1584">
        <v>2010</v>
      </c>
      <c r="I1584" s="1">
        <v>2461.75</v>
      </c>
      <c r="J1584" s="1">
        <v>2735.28</v>
      </c>
    </row>
    <row r="1585" spans="1:11" x14ac:dyDescent="0.35">
      <c r="A1585">
        <v>759929</v>
      </c>
      <c r="B1585">
        <v>2057430</v>
      </c>
      <c r="C1585" t="str">
        <f>"ROOSEVELT INDEP SCHOOL DIST"</f>
        <v>ROOSEVELT INDEP SCHOOL DIST</v>
      </c>
      <c r="D1585" t="s">
        <v>11</v>
      </c>
      <c r="E1585" t="s">
        <v>1303</v>
      </c>
      <c r="F1585" t="s">
        <v>490</v>
      </c>
      <c r="G1585">
        <v>79403</v>
      </c>
      <c r="H1585">
        <v>2010</v>
      </c>
      <c r="I1585" s="1">
        <v>2619.88</v>
      </c>
      <c r="J1585" s="1">
        <v>3082.21</v>
      </c>
      <c r="K1585" s="1">
        <v>2619.88</v>
      </c>
    </row>
    <row r="1586" spans="1:11" x14ac:dyDescent="0.35">
      <c r="A1586">
        <v>759921</v>
      </c>
      <c r="B1586">
        <v>2056953</v>
      </c>
      <c r="C1586" t="str">
        <f>"ROOSEVELT INDEP SCHOOL DIST"</f>
        <v>ROOSEVELT INDEP SCHOOL DIST</v>
      </c>
      <c r="D1586" t="s">
        <v>11</v>
      </c>
      <c r="E1586" t="s">
        <v>1303</v>
      </c>
      <c r="F1586" t="s">
        <v>490</v>
      </c>
      <c r="G1586">
        <v>79403</v>
      </c>
      <c r="H1586">
        <v>2010</v>
      </c>
      <c r="I1586" s="1">
        <v>26713.8</v>
      </c>
      <c r="J1586" s="1">
        <v>31428</v>
      </c>
      <c r="K1586" s="1">
        <v>26713.8</v>
      </c>
    </row>
    <row r="1587" spans="1:11" x14ac:dyDescent="0.35">
      <c r="A1587">
        <v>753842</v>
      </c>
      <c r="B1587">
        <v>2037408</v>
      </c>
      <c r="C1587" t="str">
        <f>"ROOSEVELT INDEP SCHOOL DIST"</f>
        <v>ROOSEVELT INDEP SCHOOL DIST</v>
      </c>
      <c r="D1587" t="s">
        <v>11</v>
      </c>
      <c r="E1587" t="s">
        <v>1303</v>
      </c>
      <c r="F1587" t="s">
        <v>490</v>
      </c>
      <c r="G1587">
        <v>79403</v>
      </c>
      <c r="H1587">
        <v>2010</v>
      </c>
      <c r="I1587" s="1">
        <v>3315</v>
      </c>
      <c r="J1587" s="1">
        <v>3900</v>
      </c>
      <c r="K1587" s="1">
        <v>3315</v>
      </c>
    </row>
    <row r="1588" spans="1:11" x14ac:dyDescent="0.35">
      <c r="A1588">
        <v>738215</v>
      </c>
      <c r="B1588">
        <v>1993928</v>
      </c>
      <c r="C1588" t="str">
        <f>"ROPES SCHOOL"</f>
        <v>ROPES SCHOOL</v>
      </c>
      <c r="D1588" t="s">
        <v>11</v>
      </c>
      <c r="E1588" t="s">
        <v>1304</v>
      </c>
      <c r="F1588" t="s">
        <v>1305</v>
      </c>
      <c r="G1588">
        <v>79358</v>
      </c>
      <c r="H1588">
        <v>2010</v>
      </c>
      <c r="I1588" s="1">
        <v>4830</v>
      </c>
      <c r="J1588" s="1">
        <v>6900</v>
      </c>
      <c r="K1588" s="1">
        <v>4830</v>
      </c>
    </row>
    <row r="1589" spans="1:11" x14ac:dyDescent="0.35">
      <c r="A1589">
        <v>738215</v>
      </c>
      <c r="B1589">
        <v>1993929</v>
      </c>
      <c r="C1589" t="str">
        <f>"ROPES SCHOOL"</f>
        <v>ROPES SCHOOL</v>
      </c>
      <c r="D1589" t="s">
        <v>11</v>
      </c>
      <c r="E1589" t="s">
        <v>1304</v>
      </c>
      <c r="F1589" t="s">
        <v>1305</v>
      </c>
      <c r="G1589">
        <v>79358</v>
      </c>
      <c r="H1589">
        <v>2010</v>
      </c>
      <c r="I1589" s="1">
        <v>1283.0999999999999</v>
      </c>
      <c r="J1589" s="1">
        <v>1833</v>
      </c>
      <c r="K1589" s="1">
        <v>1283.0999999999999</v>
      </c>
    </row>
    <row r="1590" spans="1:11" x14ac:dyDescent="0.35">
      <c r="A1590">
        <v>739247</v>
      </c>
      <c r="B1590">
        <v>2035198</v>
      </c>
      <c r="C1590" t="str">
        <f>"ROSCOE INDEP SCHOOL DISTRICT"</f>
        <v>ROSCOE INDEP SCHOOL DISTRICT</v>
      </c>
      <c r="D1590" t="s">
        <v>11</v>
      </c>
      <c r="E1590" t="s">
        <v>1306</v>
      </c>
      <c r="F1590" t="s">
        <v>1307</v>
      </c>
      <c r="G1590">
        <v>79545</v>
      </c>
      <c r="H1590">
        <v>2010</v>
      </c>
      <c r="I1590" s="1">
        <v>619.20000000000005</v>
      </c>
      <c r="J1590" s="1">
        <v>720</v>
      </c>
      <c r="K1590" s="1">
        <v>619.20000000000005</v>
      </c>
    </row>
    <row r="1591" spans="1:11" x14ac:dyDescent="0.35">
      <c r="A1591">
        <v>766705</v>
      </c>
      <c r="B1591">
        <v>2072836</v>
      </c>
      <c r="C1591" t="str">
        <f>"ROSEBUD-LOTT INDEP SCHOOL DIST"</f>
        <v>ROSEBUD-LOTT INDEP SCHOOL DIST</v>
      </c>
      <c r="D1591" t="s">
        <v>11</v>
      </c>
      <c r="E1591" t="s">
        <v>1308</v>
      </c>
      <c r="F1591" t="s">
        <v>1309</v>
      </c>
      <c r="G1591">
        <v>76570</v>
      </c>
      <c r="H1591">
        <v>2010</v>
      </c>
      <c r="I1591" s="1">
        <v>3201.12</v>
      </c>
      <c r="J1591" s="1">
        <v>4212</v>
      </c>
      <c r="K1591" s="1">
        <v>3201.12</v>
      </c>
    </row>
    <row r="1592" spans="1:11" x14ac:dyDescent="0.35">
      <c r="A1592">
        <v>741475</v>
      </c>
      <c r="B1592">
        <v>2036258</v>
      </c>
      <c r="C1592" t="str">
        <f>"ROSEBUD-LOTT INDEP SCHOOL DIST"</f>
        <v>ROSEBUD-LOTT INDEP SCHOOL DIST</v>
      </c>
      <c r="D1592" t="s">
        <v>11</v>
      </c>
      <c r="E1592" t="s">
        <v>1308</v>
      </c>
      <c r="F1592" t="s">
        <v>1309</v>
      </c>
      <c r="G1592">
        <v>76570</v>
      </c>
      <c r="H1592">
        <v>2010</v>
      </c>
      <c r="I1592" s="1">
        <v>41040</v>
      </c>
      <c r="J1592" s="1">
        <v>54000</v>
      </c>
      <c r="K1592" s="1">
        <v>37620</v>
      </c>
    </row>
    <row r="1593" spans="1:11" x14ac:dyDescent="0.35">
      <c r="A1593">
        <v>731847</v>
      </c>
      <c r="B1593">
        <v>1979414</v>
      </c>
      <c r="C1593" t="str">
        <f>"ROSEBUD-LOTT INDEP SCHOOL DIST"</f>
        <v>ROSEBUD-LOTT INDEP SCHOOL DIST</v>
      </c>
      <c r="D1593" t="s">
        <v>11</v>
      </c>
      <c r="E1593" t="s">
        <v>1308</v>
      </c>
      <c r="F1593" t="s">
        <v>1309</v>
      </c>
      <c r="G1593">
        <v>76570</v>
      </c>
      <c r="H1593">
        <v>2010</v>
      </c>
      <c r="I1593" s="1">
        <v>0</v>
      </c>
      <c r="J1593" s="1">
        <v>0</v>
      </c>
    </row>
    <row r="1594" spans="1:11" x14ac:dyDescent="0.35">
      <c r="A1594">
        <v>751449</v>
      </c>
      <c r="B1594">
        <v>2031270</v>
      </c>
      <c r="C1594" t="str">
        <f>"ROUND ROCK INDEP SCHOOL DIST"</f>
        <v>ROUND ROCK INDEP SCHOOL DIST</v>
      </c>
      <c r="D1594" t="s">
        <v>11</v>
      </c>
      <c r="E1594" t="s">
        <v>1310</v>
      </c>
      <c r="F1594" t="s">
        <v>1311</v>
      </c>
      <c r="G1594">
        <v>78681</v>
      </c>
      <c r="H1594">
        <v>2010</v>
      </c>
      <c r="I1594" s="1">
        <v>0</v>
      </c>
      <c r="J1594" s="1">
        <v>0</v>
      </c>
    </row>
    <row r="1595" spans="1:11" x14ac:dyDescent="0.35">
      <c r="A1595">
        <v>742121</v>
      </c>
      <c r="B1595">
        <v>2004759</v>
      </c>
      <c r="C1595" t="str">
        <f>"ROUND TOP-CARMINE SCHOOL DIST"</f>
        <v>ROUND TOP-CARMINE SCHOOL DIST</v>
      </c>
      <c r="D1595" t="s">
        <v>11</v>
      </c>
      <c r="E1595" t="s">
        <v>1312</v>
      </c>
      <c r="F1595" t="s">
        <v>1313</v>
      </c>
      <c r="G1595">
        <v>78932</v>
      </c>
      <c r="H1595">
        <v>2010</v>
      </c>
      <c r="I1595" s="1">
        <v>4356</v>
      </c>
      <c r="J1595" s="1">
        <v>6600</v>
      </c>
      <c r="K1595" s="1">
        <v>4356</v>
      </c>
    </row>
    <row r="1596" spans="1:11" x14ac:dyDescent="0.35">
      <c r="A1596">
        <v>742121</v>
      </c>
      <c r="B1596">
        <v>2004710</v>
      </c>
      <c r="C1596" t="str">
        <f>"ROUND TOP-CARMINE SCHOOL DIST"</f>
        <v>ROUND TOP-CARMINE SCHOOL DIST</v>
      </c>
      <c r="D1596" t="s">
        <v>11</v>
      </c>
      <c r="E1596" t="s">
        <v>1312</v>
      </c>
      <c r="F1596" t="s">
        <v>1313</v>
      </c>
      <c r="G1596">
        <v>78932</v>
      </c>
      <c r="H1596">
        <v>2010</v>
      </c>
      <c r="I1596" s="1">
        <v>5207.3999999999996</v>
      </c>
      <c r="J1596" s="1">
        <v>7890</v>
      </c>
      <c r="K1596" s="1">
        <v>5207.3999999999996</v>
      </c>
    </row>
    <row r="1597" spans="1:11" x14ac:dyDescent="0.35">
      <c r="A1597">
        <v>742121</v>
      </c>
      <c r="B1597">
        <v>2004592</v>
      </c>
      <c r="C1597" t="str">
        <f>"ROUND TOP-CARMINE SCHOOL DIST"</f>
        <v>ROUND TOP-CARMINE SCHOOL DIST</v>
      </c>
      <c r="D1597" t="s">
        <v>11</v>
      </c>
      <c r="E1597" t="s">
        <v>1312</v>
      </c>
      <c r="F1597" t="s">
        <v>1313</v>
      </c>
      <c r="G1597">
        <v>78932</v>
      </c>
      <c r="H1597">
        <v>2010</v>
      </c>
      <c r="I1597" s="1">
        <v>756.76</v>
      </c>
      <c r="J1597" s="1">
        <v>1146.5999999999999</v>
      </c>
      <c r="K1597" s="1">
        <v>756.76</v>
      </c>
    </row>
    <row r="1598" spans="1:11" x14ac:dyDescent="0.35">
      <c r="A1598">
        <v>723347</v>
      </c>
      <c r="B1598">
        <v>1975691</v>
      </c>
      <c r="C1598" t="str">
        <f>"ROYAL INDEP SCHOOL DISTRICT"</f>
        <v>ROYAL INDEP SCHOOL DISTRICT</v>
      </c>
      <c r="D1598" t="s">
        <v>11</v>
      </c>
      <c r="E1598" t="s">
        <v>1314</v>
      </c>
      <c r="F1598" t="s">
        <v>1315</v>
      </c>
      <c r="G1598">
        <v>77466</v>
      </c>
      <c r="H1598">
        <v>2010</v>
      </c>
      <c r="I1598" s="1">
        <v>8640.09</v>
      </c>
      <c r="J1598" s="1">
        <v>9818.2800000000007</v>
      </c>
      <c r="K1598" s="1">
        <v>8640.09</v>
      </c>
    </row>
    <row r="1599" spans="1:11" x14ac:dyDescent="0.35">
      <c r="A1599">
        <v>723347</v>
      </c>
      <c r="B1599">
        <v>1975926</v>
      </c>
      <c r="C1599" t="str">
        <f>"ROYAL INDEP SCHOOL DISTRICT"</f>
        <v>ROYAL INDEP SCHOOL DISTRICT</v>
      </c>
      <c r="D1599" t="s">
        <v>11</v>
      </c>
      <c r="E1599" t="s">
        <v>1314</v>
      </c>
      <c r="F1599" t="s">
        <v>1315</v>
      </c>
      <c r="G1599">
        <v>77466</v>
      </c>
      <c r="H1599">
        <v>2010</v>
      </c>
      <c r="I1599" s="1">
        <v>9901.58</v>
      </c>
      <c r="J1599" s="1">
        <v>11251.8</v>
      </c>
      <c r="K1599" s="1">
        <v>9901.58</v>
      </c>
    </row>
    <row r="1600" spans="1:11" x14ac:dyDescent="0.35">
      <c r="A1600">
        <v>760001</v>
      </c>
      <c r="B1600">
        <v>2053593</v>
      </c>
      <c r="C1600" t="str">
        <f>"ROYSE CITY INDEP SCHOOL DIST"</f>
        <v>ROYSE CITY INDEP SCHOOL DIST</v>
      </c>
      <c r="D1600" t="s">
        <v>11</v>
      </c>
      <c r="E1600" t="s">
        <v>1316</v>
      </c>
      <c r="F1600" t="s">
        <v>1317</v>
      </c>
      <c r="G1600">
        <v>75189</v>
      </c>
      <c r="H1600">
        <v>2010</v>
      </c>
      <c r="I1600" s="1">
        <v>25488</v>
      </c>
      <c r="J1600" s="1">
        <v>43200</v>
      </c>
      <c r="K1600" s="1">
        <v>19116</v>
      </c>
    </row>
    <row r="1601" spans="1:11" x14ac:dyDescent="0.35">
      <c r="A1601">
        <v>766731</v>
      </c>
      <c r="B1601">
        <v>2076743</v>
      </c>
      <c r="C1601" t="str">
        <f>"RUNGE INDEP SCHOOL DISTRICT"</f>
        <v>RUNGE INDEP SCHOOL DISTRICT</v>
      </c>
      <c r="D1601" t="s">
        <v>11</v>
      </c>
      <c r="E1601" t="s">
        <v>1318</v>
      </c>
      <c r="F1601" t="s">
        <v>1319</v>
      </c>
      <c r="G1601">
        <v>78151</v>
      </c>
      <c r="H1601">
        <v>2010</v>
      </c>
      <c r="I1601" s="1">
        <v>258</v>
      </c>
      <c r="J1601" s="1">
        <v>300</v>
      </c>
    </row>
    <row r="1602" spans="1:11" x14ac:dyDescent="0.35">
      <c r="A1602">
        <v>766731</v>
      </c>
      <c r="B1602">
        <v>2076950</v>
      </c>
      <c r="C1602" t="str">
        <f>"RUNGE INDEP SCHOOL DISTRICT"</f>
        <v>RUNGE INDEP SCHOOL DISTRICT</v>
      </c>
      <c r="D1602" t="s">
        <v>11</v>
      </c>
      <c r="E1602" t="s">
        <v>1318</v>
      </c>
      <c r="F1602" t="s">
        <v>1319</v>
      </c>
      <c r="G1602">
        <v>78151</v>
      </c>
      <c r="H1602">
        <v>2010</v>
      </c>
      <c r="I1602" s="1">
        <v>980.4</v>
      </c>
      <c r="J1602" s="1">
        <v>1140</v>
      </c>
      <c r="K1602" s="1">
        <v>980.4</v>
      </c>
    </row>
    <row r="1603" spans="1:11" x14ac:dyDescent="0.35">
      <c r="A1603">
        <v>766731</v>
      </c>
      <c r="B1603">
        <v>2075039</v>
      </c>
      <c r="C1603" t="str">
        <f>"RUNGE INDEP SCHOOL DISTRICT"</f>
        <v>RUNGE INDEP SCHOOL DISTRICT</v>
      </c>
      <c r="D1603" t="s">
        <v>11</v>
      </c>
      <c r="E1603" t="s">
        <v>1318</v>
      </c>
      <c r="F1603" t="s">
        <v>1319</v>
      </c>
      <c r="G1603">
        <v>78151</v>
      </c>
      <c r="H1603">
        <v>2010</v>
      </c>
      <c r="I1603" s="1">
        <v>15015.6</v>
      </c>
      <c r="J1603" s="1">
        <v>17460</v>
      </c>
      <c r="K1603" s="1">
        <v>13080</v>
      </c>
    </row>
    <row r="1604" spans="1:11" x14ac:dyDescent="0.35">
      <c r="A1604">
        <v>703345</v>
      </c>
      <c r="B1604">
        <v>1933356</v>
      </c>
      <c r="C1604" t="str">
        <f>"S &amp; S C.I.S.D."</f>
        <v>S &amp; S C.I.S.D.</v>
      </c>
      <c r="D1604" t="s">
        <v>11</v>
      </c>
      <c r="E1604" t="s">
        <v>1320</v>
      </c>
      <c r="F1604" t="s">
        <v>1321</v>
      </c>
      <c r="G1604">
        <v>76264</v>
      </c>
      <c r="H1604">
        <v>2010</v>
      </c>
      <c r="I1604" s="1">
        <v>2070</v>
      </c>
      <c r="J1604" s="1">
        <v>3000</v>
      </c>
      <c r="K1604" s="1">
        <v>2070</v>
      </c>
    </row>
    <row r="1605" spans="1:11" x14ac:dyDescent="0.35">
      <c r="A1605">
        <v>703345</v>
      </c>
      <c r="B1605">
        <v>1933362</v>
      </c>
      <c r="C1605" t="str">
        <f>"S &amp; S C.I.S.D."</f>
        <v>S &amp; S C.I.S.D.</v>
      </c>
      <c r="D1605" t="s">
        <v>11</v>
      </c>
      <c r="E1605" t="s">
        <v>1320</v>
      </c>
      <c r="F1605" t="s">
        <v>1321</v>
      </c>
      <c r="G1605">
        <v>76264</v>
      </c>
      <c r="H1605">
        <v>2010</v>
      </c>
      <c r="I1605" s="1">
        <v>310.5</v>
      </c>
      <c r="J1605" s="1">
        <v>450</v>
      </c>
      <c r="K1605" s="1">
        <v>310.5</v>
      </c>
    </row>
    <row r="1606" spans="1:11" x14ac:dyDescent="0.35">
      <c r="A1606">
        <v>703345</v>
      </c>
      <c r="B1606">
        <v>1933366</v>
      </c>
      <c r="C1606" t="str">
        <f>"S &amp; S C.I.S.D."</f>
        <v>S &amp; S C.I.S.D.</v>
      </c>
      <c r="D1606" t="s">
        <v>11</v>
      </c>
      <c r="E1606" t="s">
        <v>1320</v>
      </c>
      <c r="F1606" t="s">
        <v>1321</v>
      </c>
      <c r="G1606">
        <v>76264</v>
      </c>
      <c r="H1606">
        <v>2010</v>
      </c>
      <c r="I1606" s="1">
        <v>0</v>
      </c>
      <c r="J1606" s="1">
        <v>0</v>
      </c>
    </row>
    <row r="1607" spans="1:11" x14ac:dyDescent="0.35">
      <c r="A1607">
        <v>720965</v>
      </c>
      <c r="B1607">
        <v>1994117</v>
      </c>
      <c r="C1607" t="str">
        <f>"SABINAL INDEP SCHOOL DISTRICT"</f>
        <v>SABINAL INDEP SCHOOL DISTRICT</v>
      </c>
      <c r="D1607" t="s">
        <v>11</v>
      </c>
      <c r="E1607" t="s">
        <v>1322</v>
      </c>
      <c r="F1607" t="s">
        <v>1323</v>
      </c>
      <c r="G1607">
        <v>78881</v>
      </c>
      <c r="H1607">
        <v>2010</v>
      </c>
      <c r="I1607" s="1">
        <v>2040</v>
      </c>
      <c r="J1607" s="1">
        <v>2400</v>
      </c>
      <c r="K1607" s="1">
        <v>2040</v>
      </c>
    </row>
    <row r="1608" spans="1:11" x14ac:dyDescent="0.35">
      <c r="A1608">
        <v>720965</v>
      </c>
      <c r="B1608">
        <v>1994114</v>
      </c>
      <c r="C1608" t="str">
        <f>"SABINAL INDEP SCHOOL DISTRICT"</f>
        <v>SABINAL INDEP SCHOOL DISTRICT</v>
      </c>
      <c r="D1608" t="s">
        <v>11</v>
      </c>
      <c r="E1608" t="s">
        <v>1322</v>
      </c>
      <c r="F1608" t="s">
        <v>1323</v>
      </c>
      <c r="G1608">
        <v>78881</v>
      </c>
      <c r="H1608">
        <v>2010</v>
      </c>
      <c r="I1608" s="1">
        <v>24820</v>
      </c>
      <c r="J1608" s="1">
        <v>29200</v>
      </c>
      <c r="K1608" s="1">
        <v>24820</v>
      </c>
    </row>
    <row r="1609" spans="1:11" x14ac:dyDescent="0.35">
      <c r="A1609">
        <v>720965</v>
      </c>
      <c r="B1609">
        <v>1994125</v>
      </c>
      <c r="C1609" t="str">
        <f>"SABINAL INDEP SCHOOL DISTRICT"</f>
        <v>SABINAL INDEP SCHOOL DISTRICT</v>
      </c>
      <c r="D1609" t="s">
        <v>11</v>
      </c>
      <c r="E1609" t="s">
        <v>1322</v>
      </c>
      <c r="F1609" t="s">
        <v>1323</v>
      </c>
      <c r="G1609">
        <v>78881</v>
      </c>
      <c r="H1609">
        <v>2010</v>
      </c>
      <c r="I1609" s="1">
        <v>7923.68</v>
      </c>
      <c r="J1609" s="1">
        <v>9321.98</v>
      </c>
      <c r="K1609" s="1">
        <v>7923.68</v>
      </c>
    </row>
    <row r="1610" spans="1:11" x14ac:dyDescent="0.35">
      <c r="A1610">
        <v>720965</v>
      </c>
      <c r="B1610">
        <v>1994123</v>
      </c>
      <c r="C1610" t="str">
        <f>"SABINAL INDEP SCHOOL DISTRICT"</f>
        <v>SABINAL INDEP SCHOOL DISTRICT</v>
      </c>
      <c r="D1610" t="s">
        <v>11</v>
      </c>
      <c r="E1610" t="s">
        <v>1322</v>
      </c>
      <c r="F1610" t="s">
        <v>1323</v>
      </c>
      <c r="G1610">
        <v>78881</v>
      </c>
      <c r="H1610">
        <v>2010</v>
      </c>
      <c r="I1610" s="1">
        <v>640.46</v>
      </c>
      <c r="J1610" s="1">
        <v>753.48</v>
      </c>
      <c r="K1610" s="1">
        <v>640.46</v>
      </c>
    </row>
    <row r="1611" spans="1:11" x14ac:dyDescent="0.35">
      <c r="A1611">
        <v>732553</v>
      </c>
      <c r="B1611">
        <v>1997245</v>
      </c>
      <c r="C1611" t="str">
        <f>"SABINE PASS INDEP SCHOOL DIST"</f>
        <v>SABINE PASS INDEP SCHOOL DIST</v>
      </c>
      <c r="D1611" t="s">
        <v>11</v>
      </c>
      <c r="E1611" t="s">
        <v>1324</v>
      </c>
      <c r="F1611" t="s">
        <v>1325</v>
      </c>
      <c r="G1611">
        <v>77655</v>
      </c>
      <c r="H1611">
        <v>2010</v>
      </c>
      <c r="I1611" s="1">
        <v>1133.46</v>
      </c>
      <c r="J1611" s="1">
        <v>2266.92</v>
      </c>
      <c r="K1611" s="1">
        <v>949.17</v>
      </c>
    </row>
    <row r="1612" spans="1:11" x14ac:dyDescent="0.35">
      <c r="A1612">
        <v>753043</v>
      </c>
      <c r="B1612">
        <v>2035773</v>
      </c>
      <c r="C1612" t="str">
        <f>"SAINT JO INDEP SCHOOL DISTRICT"</f>
        <v>SAINT JO INDEP SCHOOL DISTRICT</v>
      </c>
      <c r="D1612" t="s">
        <v>11</v>
      </c>
      <c r="E1612" t="s">
        <v>1326</v>
      </c>
      <c r="F1612" t="s">
        <v>1327</v>
      </c>
      <c r="G1612">
        <v>76265</v>
      </c>
      <c r="H1612">
        <v>2010</v>
      </c>
      <c r="I1612" s="1">
        <v>4050.65</v>
      </c>
      <c r="J1612" s="1">
        <v>5329.8</v>
      </c>
      <c r="K1612" s="1">
        <v>4050.65</v>
      </c>
    </row>
    <row r="1613" spans="1:11" x14ac:dyDescent="0.35">
      <c r="A1613">
        <v>753043</v>
      </c>
      <c r="B1613">
        <v>2035492</v>
      </c>
      <c r="C1613" t="str">
        <f>"SAINT JO INDEP SCHOOL DISTRICT"</f>
        <v>SAINT JO INDEP SCHOOL DISTRICT</v>
      </c>
      <c r="D1613" t="s">
        <v>11</v>
      </c>
      <c r="E1613" t="s">
        <v>1326</v>
      </c>
      <c r="F1613" t="s">
        <v>1327</v>
      </c>
      <c r="G1613">
        <v>76265</v>
      </c>
      <c r="H1613">
        <v>2010</v>
      </c>
      <c r="I1613" s="1">
        <v>948.48</v>
      </c>
      <c r="J1613" s="1">
        <v>1248</v>
      </c>
      <c r="K1613" s="1">
        <v>866.28</v>
      </c>
    </row>
    <row r="1614" spans="1:11" x14ac:dyDescent="0.35">
      <c r="A1614">
        <v>746865</v>
      </c>
      <c r="B1614">
        <v>2016213</v>
      </c>
      <c r="C1614" t="str">
        <f>"SALADO INDEP SCHOOL DISTRICT"</f>
        <v>SALADO INDEP SCHOOL DISTRICT</v>
      </c>
      <c r="D1614" t="s">
        <v>11</v>
      </c>
      <c r="E1614" t="s">
        <v>1328</v>
      </c>
      <c r="F1614" t="s">
        <v>1329</v>
      </c>
      <c r="G1614">
        <v>76571</v>
      </c>
      <c r="H1614">
        <v>2010</v>
      </c>
      <c r="I1614" s="1">
        <v>7200</v>
      </c>
      <c r="J1614" s="1">
        <v>14400</v>
      </c>
      <c r="K1614" s="1">
        <v>7200</v>
      </c>
    </row>
    <row r="1615" spans="1:11" x14ac:dyDescent="0.35">
      <c r="A1615">
        <v>732673</v>
      </c>
      <c r="B1615">
        <v>1981507</v>
      </c>
      <c r="C1615" t="str">
        <f>"SALTILLO INDEP SCHOOL DISTRICT"</f>
        <v>SALTILLO INDEP SCHOOL DISTRICT</v>
      </c>
      <c r="D1615" t="s">
        <v>11</v>
      </c>
      <c r="E1615" t="s">
        <v>1330</v>
      </c>
      <c r="F1615" t="s">
        <v>1331</v>
      </c>
      <c r="G1615">
        <v>75478</v>
      </c>
      <c r="H1615">
        <v>2010</v>
      </c>
      <c r="I1615" s="1">
        <v>1740</v>
      </c>
      <c r="J1615" s="1">
        <v>2175</v>
      </c>
      <c r="K1615" s="1">
        <v>1740</v>
      </c>
    </row>
    <row r="1616" spans="1:11" x14ac:dyDescent="0.35">
      <c r="A1616">
        <v>732214</v>
      </c>
      <c r="B1616">
        <v>1980136</v>
      </c>
      <c r="C1616" t="str">
        <f>"SAMNORWOOD SCHOOL DISTRICT"</f>
        <v>SAMNORWOOD SCHOOL DISTRICT</v>
      </c>
      <c r="D1616" t="s">
        <v>11</v>
      </c>
      <c r="E1616" t="s">
        <v>1332</v>
      </c>
      <c r="F1616" t="s">
        <v>1333</v>
      </c>
      <c r="G1616">
        <v>79077</v>
      </c>
      <c r="H1616">
        <v>2010</v>
      </c>
      <c r="I1616" s="1">
        <v>2400</v>
      </c>
      <c r="J1616" s="1">
        <v>3000</v>
      </c>
      <c r="K1616" s="1">
        <v>2400</v>
      </c>
    </row>
    <row r="1617" spans="1:11" x14ac:dyDescent="0.35">
      <c r="A1617">
        <v>732214</v>
      </c>
      <c r="B1617">
        <v>1980126</v>
      </c>
      <c r="C1617" t="str">
        <f>"SAMNORWOOD SCHOOL DISTRICT"</f>
        <v>SAMNORWOOD SCHOOL DISTRICT</v>
      </c>
      <c r="D1617" t="s">
        <v>11</v>
      </c>
      <c r="E1617" t="s">
        <v>1332</v>
      </c>
      <c r="F1617" t="s">
        <v>1333</v>
      </c>
      <c r="G1617">
        <v>79077</v>
      </c>
      <c r="H1617">
        <v>2010</v>
      </c>
      <c r="I1617" s="1">
        <v>0</v>
      </c>
      <c r="J1617" s="1">
        <v>0</v>
      </c>
    </row>
    <row r="1618" spans="1:11" x14ac:dyDescent="0.35">
      <c r="A1618">
        <v>708404</v>
      </c>
      <c r="B1618">
        <v>1970283</v>
      </c>
      <c r="C1618" t="str">
        <f>"SAN ANGELO INDEP SCHOOL DIST"</f>
        <v>SAN ANGELO INDEP SCHOOL DIST</v>
      </c>
      <c r="D1618" t="s">
        <v>11</v>
      </c>
      <c r="E1618" t="s">
        <v>1334</v>
      </c>
      <c r="F1618" t="s">
        <v>493</v>
      </c>
      <c r="G1618">
        <v>76904</v>
      </c>
      <c r="H1618">
        <v>2010</v>
      </c>
      <c r="I1618" s="1">
        <v>21150</v>
      </c>
      <c r="J1618" s="1">
        <v>28200</v>
      </c>
    </row>
    <row r="1619" spans="1:11" x14ac:dyDescent="0.35">
      <c r="A1619">
        <v>708404</v>
      </c>
      <c r="B1619">
        <v>1962578</v>
      </c>
      <c r="C1619" t="str">
        <f>"SAN ANGELO INDEP SCHOOL DIST"</f>
        <v>SAN ANGELO INDEP SCHOOL DIST</v>
      </c>
      <c r="D1619" t="s">
        <v>11</v>
      </c>
      <c r="E1619" t="s">
        <v>1334</v>
      </c>
      <c r="F1619" t="s">
        <v>493</v>
      </c>
      <c r="G1619">
        <v>76904</v>
      </c>
      <c r="H1619">
        <v>2010</v>
      </c>
      <c r="I1619" s="1">
        <v>48114</v>
      </c>
      <c r="J1619" s="1">
        <v>64152</v>
      </c>
      <c r="K1619" s="1">
        <v>27900</v>
      </c>
    </row>
    <row r="1620" spans="1:11" x14ac:dyDescent="0.35">
      <c r="A1620">
        <v>751087</v>
      </c>
      <c r="B1620">
        <v>2038726</v>
      </c>
      <c r="C1620" t="str">
        <f>"SAN ANTONIO INDEP SCHOOL DIST"</f>
        <v>SAN ANTONIO INDEP SCHOOL DIST</v>
      </c>
      <c r="D1620" t="s">
        <v>11</v>
      </c>
      <c r="E1620" t="s">
        <v>1335</v>
      </c>
      <c r="F1620" t="s">
        <v>25</v>
      </c>
      <c r="G1620">
        <v>78515</v>
      </c>
      <c r="H1620">
        <v>2010</v>
      </c>
      <c r="I1620" s="1">
        <v>74086.16</v>
      </c>
      <c r="J1620" s="1">
        <v>82317.960000000006</v>
      </c>
      <c r="K1620" s="1">
        <v>74086.16</v>
      </c>
    </row>
    <row r="1621" spans="1:11" x14ac:dyDescent="0.35">
      <c r="A1621">
        <v>751087</v>
      </c>
      <c r="B1621">
        <v>2240187</v>
      </c>
      <c r="C1621" t="str">
        <f>"SAN ANTONIO INDEP SCHOOL DIST"</f>
        <v>SAN ANTONIO INDEP SCHOOL DIST</v>
      </c>
      <c r="D1621" t="s">
        <v>11</v>
      </c>
      <c r="E1621" t="s">
        <v>1335</v>
      </c>
      <c r="F1621" t="s">
        <v>25</v>
      </c>
      <c r="G1621">
        <v>78515</v>
      </c>
      <c r="H1621">
        <v>2010</v>
      </c>
      <c r="I1621" s="1">
        <v>9995.4</v>
      </c>
      <c r="J1621" s="1">
        <v>11106</v>
      </c>
      <c r="K1621" s="1">
        <v>9995.4</v>
      </c>
    </row>
    <row r="1622" spans="1:11" x14ac:dyDescent="0.35">
      <c r="A1622">
        <v>751087</v>
      </c>
      <c r="B1622">
        <v>2240186</v>
      </c>
      <c r="C1622" t="str">
        <f>"SAN ANTONIO INDEP SCHOOL DIST"</f>
        <v>SAN ANTONIO INDEP SCHOOL DIST</v>
      </c>
      <c r="D1622" t="s">
        <v>11</v>
      </c>
      <c r="E1622" t="s">
        <v>1335</v>
      </c>
      <c r="F1622" t="s">
        <v>25</v>
      </c>
      <c r="G1622">
        <v>78515</v>
      </c>
      <c r="H1622">
        <v>2010</v>
      </c>
      <c r="I1622" s="1">
        <v>48600</v>
      </c>
      <c r="J1622" s="1">
        <v>54000</v>
      </c>
      <c r="K1622" s="1">
        <v>48600</v>
      </c>
    </row>
    <row r="1623" spans="1:11" x14ac:dyDescent="0.35">
      <c r="A1623">
        <v>766735</v>
      </c>
      <c r="B1623">
        <v>2072646</v>
      </c>
      <c r="C1623" t="str">
        <f>"SAN AUGUSTINE SCHOOL DISTRICT"</f>
        <v>SAN AUGUSTINE SCHOOL DISTRICT</v>
      </c>
      <c r="D1623" t="s">
        <v>11</v>
      </c>
      <c r="E1623" t="s">
        <v>1336</v>
      </c>
      <c r="F1623" t="s">
        <v>1337</v>
      </c>
      <c r="G1623">
        <v>75972</v>
      </c>
      <c r="H1623">
        <v>2010</v>
      </c>
      <c r="I1623" s="1">
        <v>3525.8</v>
      </c>
      <c r="J1623" s="1">
        <v>3917.55</v>
      </c>
      <c r="K1623" s="1">
        <v>3525.8</v>
      </c>
    </row>
    <row r="1624" spans="1:11" x14ac:dyDescent="0.35">
      <c r="A1624">
        <v>719989</v>
      </c>
      <c r="B1624">
        <v>1983329</v>
      </c>
      <c r="C1624" t="str">
        <f>"SAN AUGUSTINE SCHOOL DISTRICT"</f>
        <v>SAN AUGUSTINE SCHOOL DISTRICT</v>
      </c>
      <c r="D1624" t="s">
        <v>11</v>
      </c>
      <c r="E1624" t="s">
        <v>1336</v>
      </c>
      <c r="F1624" t="s">
        <v>1337</v>
      </c>
      <c r="G1624">
        <v>75972</v>
      </c>
      <c r="H1624">
        <v>2010</v>
      </c>
      <c r="I1624" s="1">
        <v>10624.86</v>
      </c>
      <c r="J1624" s="1">
        <v>17657.52</v>
      </c>
      <c r="K1624" s="1">
        <v>10624.86</v>
      </c>
    </row>
    <row r="1625" spans="1:11" x14ac:dyDescent="0.35">
      <c r="A1625">
        <v>730890</v>
      </c>
      <c r="B1625">
        <v>1976723</v>
      </c>
      <c r="C1625" t="str">
        <f>"SAN BENITO CONS INDEP SCH DIST"</f>
        <v>SAN BENITO CONS INDEP SCH DIST</v>
      </c>
      <c r="D1625" t="s">
        <v>11</v>
      </c>
      <c r="E1625" t="s">
        <v>1338</v>
      </c>
      <c r="F1625" t="s">
        <v>1339</v>
      </c>
      <c r="G1625">
        <v>78586</v>
      </c>
      <c r="H1625">
        <v>2010</v>
      </c>
      <c r="I1625" s="1">
        <v>9345</v>
      </c>
      <c r="J1625" s="1">
        <v>10500</v>
      </c>
      <c r="K1625" s="1">
        <v>9345</v>
      </c>
    </row>
    <row r="1626" spans="1:11" x14ac:dyDescent="0.35">
      <c r="A1626">
        <v>728093</v>
      </c>
      <c r="B1626">
        <v>1970574</v>
      </c>
      <c r="C1626" t="str">
        <f>"SAN BENITO CONS INDEP SCH DIST"</f>
        <v>SAN BENITO CONS INDEP SCH DIST</v>
      </c>
      <c r="D1626" t="s">
        <v>11</v>
      </c>
      <c r="E1626" t="s">
        <v>1338</v>
      </c>
      <c r="F1626" t="s">
        <v>1339</v>
      </c>
      <c r="G1626">
        <v>78586</v>
      </c>
      <c r="H1626">
        <v>2010</v>
      </c>
      <c r="I1626" s="1">
        <v>31506</v>
      </c>
      <c r="J1626" s="1">
        <v>35400</v>
      </c>
      <c r="K1626" s="1">
        <v>15285.44</v>
      </c>
    </row>
    <row r="1627" spans="1:11" x14ac:dyDescent="0.35">
      <c r="A1627">
        <v>728093</v>
      </c>
      <c r="B1627">
        <v>2239089</v>
      </c>
      <c r="C1627" t="str">
        <f>"SAN BENITO CONS INDEP SCH DIST"</f>
        <v>SAN BENITO CONS INDEP SCH DIST</v>
      </c>
      <c r="D1627" t="s">
        <v>11</v>
      </c>
      <c r="E1627" t="s">
        <v>1338</v>
      </c>
      <c r="F1627" t="s">
        <v>1339</v>
      </c>
      <c r="G1627">
        <v>78586</v>
      </c>
      <c r="H1627">
        <v>2010</v>
      </c>
      <c r="I1627" s="1">
        <v>8099</v>
      </c>
      <c r="J1627" s="1">
        <v>9100</v>
      </c>
      <c r="K1627" s="1">
        <v>8099</v>
      </c>
    </row>
    <row r="1628" spans="1:11" x14ac:dyDescent="0.35">
      <c r="A1628">
        <v>728093</v>
      </c>
      <c r="B1628">
        <v>1970562</v>
      </c>
      <c r="C1628" t="str">
        <f>"SAN BENITO CONS INDEP SCH DIST"</f>
        <v>SAN BENITO CONS INDEP SCH DIST</v>
      </c>
      <c r="D1628" t="s">
        <v>11</v>
      </c>
      <c r="E1628" t="s">
        <v>1338</v>
      </c>
      <c r="F1628" t="s">
        <v>1339</v>
      </c>
      <c r="G1628">
        <v>78586</v>
      </c>
      <c r="H1628">
        <v>2010</v>
      </c>
      <c r="I1628" s="1">
        <v>32485</v>
      </c>
      <c r="J1628" s="1">
        <v>36500</v>
      </c>
      <c r="K1628" s="1">
        <v>28213</v>
      </c>
    </row>
    <row r="1629" spans="1:11" x14ac:dyDescent="0.35">
      <c r="A1629">
        <v>728093</v>
      </c>
      <c r="B1629">
        <v>1970522</v>
      </c>
      <c r="C1629" t="str">
        <f>"SAN BENITO CONS INDEP SCH DIST"</f>
        <v>SAN BENITO CONS INDEP SCH DIST</v>
      </c>
      <c r="D1629" t="s">
        <v>11</v>
      </c>
      <c r="E1629" t="s">
        <v>1338</v>
      </c>
      <c r="F1629" t="s">
        <v>1339</v>
      </c>
      <c r="G1629">
        <v>78586</v>
      </c>
      <c r="H1629">
        <v>2010</v>
      </c>
      <c r="I1629" s="1">
        <v>16198</v>
      </c>
      <c r="J1629" s="1">
        <v>18200</v>
      </c>
      <c r="K1629" s="1">
        <v>16198</v>
      </c>
    </row>
    <row r="1630" spans="1:11" x14ac:dyDescent="0.35">
      <c r="A1630">
        <v>761083</v>
      </c>
      <c r="B1630">
        <v>2056129</v>
      </c>
      <c r="C1630" t="str">
        <f>"SAN DIEGO INDEP SCHOOL DIST"</f>
        <v>SAN DIEGO INDEP SCHOOL DIST</v>
      </c>
      <c r="D1630" t="s">
        <v>11</v>
      </c>
      <c r="E1630" t="s">
        <v>1340</v>
      </c>
      <c r="F1630" t="s">
        <v>1341</v>
      </c>
      <c r="G1630">
        <v>78384</v>
      </c>
      <c r="H1630">
        <v>2010</v>
      </c>
      <c r="I1630" s="1">
        <v>3780</v>
      </c>
      <c r="J1630" s="1">
        <v>4200</v>
      </c>
      <c r="K1630" s="1">
        <v>3780</v>
      </c>
    </row>
    <row r="1631" spans="1:11" x14ac:dyDescent="0.35">
      <c r="A1631">
        <v>742692</v>
      </c>
      <c r="B1631">
        <v>2005378</v>
      </c>
      <c r="C1631" t="str">
        <f>"SAN DIEGO INDEP SCHOOL DIST"</f>
        <v>SAN DIEGO INDEP SCHOOL DIST</v>
      </c>
      <c r="D1631" t="s">
        <v>11</v>
      </c>
      <c r="E1631" t="s">
        <v>1340</v>
      </c>
      <c r="F1631" t="s">
        <v>1341</v>
      </c>
      <c r="G1631">
        <v>78384</v>
      </c>
      <c r="H1631">
        <v>2010</v>
      </c>
      <c r="I1631" s="1">
        <v>21116.48</v>
      </c>
      <c r="J1631" s="1">
        <v>23462.76</v>
      </c>
      <c r="K1631" s="1">
        <v>21116.48</v>
      </c>
    </row>
    <row r="1632" spans="1:11" x14ac:dyDescent="0.35">
      <c r="A1632">
        <v>768247</v>
      </c>
      <c r="B1632">
        <v>2077500</v>
      </c>
      <c r="C1632" t="str">
        <f>"SAN ELIZARIO INDEP SCHOOL DIST"</f>
        <v>SAN ELIZARIO INDEP SCHOOL DIST</v>
      </c>
      <c r="D1632" t="s">
        <v>11</v>
      </c>
      <c r="E1632" t="s">
        <v>1342</v>
      </c>
      <c r="F1632" t="s">
        <v>1343</v>
      </c>
      <c r="G1632">
        <v>79849</v>
      </c>
      <c r="H1632">
        <v>2010</v>
      </c>
      <c r="I1632" s="1">
        <v>27980.639999999999</v>
      </c>
      <c r="J1632" s="1">
        <v>31089.599999999999</v>
      </c>
    </row>
    <row r="1633" spans="1:11" x14ac:dyDescent="0.35">
      <c r="A1633">
        <v>719993</v>
      </c>
      <c r="B1633">
        <v>2021674</v>
      </c>
      <c r="C1633" t="str">
        <f>"SAN FELIPE-DEL RIO CISD"</f>
        <v>SAN FELIPE-DEL RIO CISD</v>
      </c>
      <c r="D1633" t="s">
        <v>11</v>
      </c>
      <c r="E1633" t="s">
        <v>1344</v>
      </c>
      <c r="F1633" t="s">
        <v>1345</v>
      </c>
      <c r="G1633">
        <v>78840</v>
      </c>
      <c r="H1633">
        <v>2010</v>
      </c>
      <c r="I1633" s="1">
        <v>4089.56</v>
      </c>
      <c r="J1633" s="1">
        <v>4700.6400000000003</v>
      </c>
      <c r="K1633" s="1">
        <v>4089.56</v>
      </c>
    </row>
    <row r="1634" spans="1:11" x14ac:dyDescent="0.35">
      <c r="A1634">
        <v>719993</v>
      </c>
      <c r="B1634">
        <v>2055861</v>
      </c>
      <c r="C1634" t="str">
        <f>"SAN FELIPE-DEL RIO CISD"</f>
        <v>SAN FELIPE-DEL RIO CISD</v>
      </c>
      <c r="D1634" t="s">
        <v>11</v>
      </c>
      <c r="E1634" t="s">
        <v>1344</v>
      </c>
      <c r="F1634" t="s">
        <v>1345</v>
      </c>
      <c r="G1634">
        <v>78840</v>
      </c>
      <c r="H1634">
        <v>2010</v>
      </c>
      <c r="I1634" s="1">
        <v>170714.88</v>
      </c>
      <c r="J1634" s="1">
        <v>196224</v>
      </c>
      <c r="K1634" s="1">
        <v>170714.88</v>
      </c>
    </row>
    <row r="1635" spans="1:11" x14ac:dyDescent="0.35">
      <c r="A1635">
        <v>711410</v>
      </c>
      <c r="B1635">
        <v>1956291</v>
      </c>
      <c r="C1635" t="str">
        <f>"SAN MARCOS CONS INDEP SCH DIST"</f>
        <v>SAN MARCOS CONS INDEP SCH DIST</v>
      </c>
      <c r="D1635" t="s">
        <v>11</v>
      </c>
      <c r="E1635" t="s">
        <v>1346</v>
      </c>
      <c r="F1635" t="s">
        <v>1347</v>
      </c>
      <c r="G1635">
        <v>78666</v>
      </c>
      <c r="H1635">
        <v>2010</v>
      </c>
      <c r="I1635" s="1">
        <v>0</v>
      </c>
      <c r="J1635" s="1">
        <v>0</v>
      </c>
    </row>
    <row r="1636" spans="1:11" x14ac:dyDescent="0.35">
      <c r="A1636">
        <v>711410</v>
      </c>
      <c r="B1636">
        <v>1956283</v>
      </c>
      <c r="C1636" t="str">
        <f>"SAN MARCOS CONS INDEP SCH DIST"</f>
        <v>SAN MARCOS CONS INDEP SCH DIST</v>
      </c>
      <c r="D1636" t="s">
        <v>11</v>
      </c>
      <c r="E1636" t="s">
        <v>1346</v>
      </c>
      <c r="F1636" t="s">
        <v>1347</v>
      </c>
      <c r="G1636">
        <v>78666</v>
      </c>
      <c r="H1636">
        <v>2010</v>
      </c>
      <c r="I1636" s="1">
        <v>10271.25</v>
      </c>
      <c r="J1636" s="1">
        <v>12375</v>
      </c>
      <c r="K1636" s="1">
        <v>7139.45</v>
      </c>
    </row>
    <row r="1637" spans="1:11" x14ac:dyDescent="0.35">
      <c r="A1637">
        <v>711410</v>
      </c>
      <c r="B1637">
        <v>1976265</v>
      </c>
      <c r="C1637" t="str">
        <f>"SAN MARCOS CONS INDEP SCH DIST"</f>
        <v>SAN MARCOS CONS INDEP SCH DIST</v>
      </c>
      <c r="D1637" t="s">
        <v>11</v>
      </c>
      <c r="E1637" t="s">
        <v>1346</v>
      </c>
      <c r="F1637" t="s">
        <v>1347</v>
      </c>
      <c r="G1637">
        <v>78666</v>
      </c>
      <c r="H1637">
        <v>2010</v>
      </c>
      <c r="I1637" s="1">
        <v>4975.0200000000004</v>
      </c>
      <c r="J1637" s="1">
        <v>5994</v>
      </c>
      <c r="K1637" s="1">
        <v>754.74</v>
      </c>
    </row>
    <row r="1638" spans="1:11" x14ac:dyDescent="0.35">
      <c r="A1638">
        <v>711410</v>
      </c>
      <c r="B1638">
        <v>1956162</v>
      </c>
      <c r="C1638" t="str">
        <f>"SAN MARCOS CONS INDEP SCH DIST"</f>
        <v>SAN MARCOS CONS INDEP SCH DIST</v>
      </c>
      <c r="D1638" t="s">
        <v>11</v>
      </c>
      <c r="E1638" t="s">
        <v>1346</v>
      </c>
      <c r="F1638" t="s">
        <v>1347</v>
      </c>
      <c r="G1638">
        <v>78666</v>
      </c>
      <c r="H1638">
        <v>2010</v>
      </c>
      <c r="I1638" s="1">
        <v>30378</v>
      </c>
      <c r="J1638" s="1">
        <v>36600</v>
      </c>
      <c r="K1638" s="1">
        <v>30378</v>
      </c>
    </row>
    <row r="1639" spans="1:11" x14ac:dyDescent="0.35">
      <c r="A1639">
        <v>761656</v>
      </c>
      <c r="B1639">
        <v>2058006</v>
      </c>
      <c r="C1639" t="str">
        <f>"SAN PERLITA INDEP SCHOOL DIST"</f>
        <v>SAN PERLITA INDEP SCHOOL DIST</v>
      </c>
      <c r="D1639" t="s">
        <v>11</v>
      </c>
      <c r="E1639" t="s">
        <v>1348</v>
      </c>
      <c r="F1639" t="s">
        <v>1349</v>
      </c>
      <c r="G1639">
        <v>78590</v>
      </c>
      <c r="H1639">
        <v>2010</v>
      </c>
      <c r="I1639" s="1">
        <v>3833.46</v>
      </c>
      <c r="J1639" s="1">
        <v>4259.3999999999996</v>
      </c>
      <c r="K1639" s="1">
        <v>2786.6</v>
      </c>
    </row>
    <row r="1640" spans="1:11" x14ac:dyDescent="0.35">
      <c r="A1640">
        <v>746359</v>
      </c>
      <c r="B1640">
        <v>2020698</v>
      </c>
      <c r="C1640" t="str">
        <f>"SAN SABA INDEP SCHOOL DISTRICT"</f>
        <v>SAN SABA INDEP SCHOOL DISTRICT</v>
      </c>
      <c r="D1640" t="s">
        <v>11</v>
      </c>
      <c r="E1640" t="s">
        <v>1350</v>
      </c>
      <c r="F1640" t="s">
        <v>1351</v>
      </c>
      <c r="G1640">
        <v>76877</v>
      </c>
      <c r="H1640">
        <v>2010</v>
      </c>
      <c r="I1640" s="1">
        <v>5035.8</v>
      </c>
      <c r="J1640" s="1">
        <v>6540</v>
      </c>
      <c r="K1640" s="1">
        <v>738.24</v>
      </c>
    </row>
    <row r="1641" spans="1:11" x14ac:dyDescent="0.35">
      <c r="A1641">
        <v>746359</v>
      </c>
      <c r="B1641">
        <v>2020706</v>
      </c>
      <c r="C1641" t="str">
        <f>"SAN SABA INDEP SCHOOL DISTRICT"</f>
        <v>SAN SABA INDEP SCHOOL DISTRICT</v>
      </c>
      <c r="D1641" t="s">
        <v>11</v>
      </c>
      <c r="E1641" t="s">
        <v>1350</v>
      </c>
      <c r="F1641" t="s">
        <v>1351</v>
      </c>
      <c r="G1641">
        <v>76877</v>
      </c>
      <c r="H1641">
        <v>2010</v>
      </c>
      <c r="I1641" s="1">
        <v>1155</v>
      </c>
      <c r="J1641" s="1">
        <v>1500</v>
      </c>
      <c r="K1641" s="1">
        <v>1062.5999999999999</v>
      </c>
    </row>
    <row r="1642" spans="1:11" x14ac:dyDescent="0.35">
      <c r="A1642">
        <v>746359</v>
      </c>
      <c r="B1642">
        <v>2020735</v>
      </c>
      <c r="C1642" t="str">
        <f>"SAN SABA INDEP SCHOOL DISTRICT"</f>
        <v>SAN SABA INDEP SCHOOL DISTRICT</v>
      </c>
      <c r="D1642" t="s">
        <v>11</v>
      </c>
      <c r="E1642" t="s">
        <v>1350</v>
      </c>
      <c r="F1642" t="s">
        <v>1351</v>
      </c>
      <c r="G1642">
        <v>76877</v>
      </c>
      <c r="H1642">
        <v>2010</v>
      </c>
      <c r="I1642" s="1">
        <v>3846.61</v>
      </c>
      <c r="J1642" s="1">
        <v>4995.6000000000004</v>
      </c>
      <c r="K1642" s="1">
        <v>3846.61</v>
      </c>
    </row>
    <row r="1643" spans="1:11" x14ac:dyDescent="0.35">
      <c r="A1643">
        <v>738214</v>
      </c>
      <c r="B1643">
        <v>1993921</v>
      </c>
      <c r="C1643" t="str">
        <f>"SANDS INDEP SCHOOL DISTRICT"</f>
        <v>SANDS INDEP SCHOOL DISTRICT</v>
      </c>
      <c r="D1643" t="s">
        <v>11</v>
      </c>
      <c r="E1643" t="s">
        <v>1352</v>
      </c>
      <c r="F1643" t="s">
        <v>1353</v>
      </c>
      <c r="G1643">
        <v>79713</v>
      </c>
      <c r="H1643">
        <v>2010</v>
      </c>
      <c r="I1643" s="1">
        <v>1461.6</v>
      </c>
      <c r="J1643" s="1">
        <v>1827</v>
      </c>
      <c r="K1643" s="1">
        <v>1461.6</v>
      </c>
    </row>
    <row r="1644" spans="1:11" x14ac:dyDescent="0.35">
      <c r="A1644">
        <v>738214</v>
      </c>
      <c r="B1644">
        <v>1993920</v>
      </c>
      <c r="C1644" t="str">
        <f>"SANDS INDEP SCHOOL DISTRICT"</f>
        <v>SANDS INDEP SCHOOL DISTRICT</v>
      </c>
      <c r="D1644" t="s">
        <v>11</v>
      </c>
      <c r="E1644" t="s">
        <v>1352</v>
      </c>
      <c r="F1644" t="s">
        <v>1353</v>
      </c>
      <c r="G1644">
        <v>79713</v>
      </c>
      <c r="H1644">
        <v>2010</v>
      </c>
      <c r="I1644" s="1">
        <v>5760</v>
      </c>
      <c r="J1644" s="1">
        <v>7200</v>
      </c>
      <c r="K1644" s="1">
        <v>5760</v>
      </c>
    </row>
    <row r="1645" spans="1:11" x14ac:dyDescent="0.35">
      <c r="A1645">
        <v>745158</v>
      </c>
      <c r="B1645">
        <v>2012456</v>
      </c>
      <c r="C1645" t="str">
        <f>"SANFORD- FRITCH INDEPENDENT SCHOOL DISTRICT"</f>
        <v>SANFORD- FRITCH INDEPENDENT SCHOOL DISTRICT</v>
      </c>
      <c r="D1645" t="s">
        <v>11</v>
      </c>
      <c r="E1645" t="s">
        <v>1354</v>
      </c>
      <c r="F1645" t="s">
        <v>1355</v>
      </c>
      <c r="G1645">
        <v>79036</v>
      </c>
      <c r="H1645">
        <v>2010</v>
      </c>
      <c r="I1645" s="1">
        <v>6458.77</v>
      </c>
      <c r="J1645" s="1">
        <v>9639.9599999999991</v>
      </c>
      <c r="K1645" s="1">
        <v>2010</v>
      </c>
    </row>
    <row r="1646" spans="1:11" x14ac:dyDescent="0.35">
      <c r="A1646">
        <v>728125</v>
      </c>
      <c r="B1646">
        <v>1970017</v>
      </c>
      <c r="C1646" t="str">
        <f>"SANGER INDEP SCHOOL DISTRICT"</f>
        <v>SANGER INDEP SCHOOL DISTRICT</v>
      </c>
      <c r="D1646" t="s">
        <v>11</v>
      </c>
      <c r="E1646" t="s">
        <v>1356</v>
      </c>
      <c r="F1646" t="s">
        <v>1357</v>
      </c>
      <c r="G1646">
        <v>76266</v>
      </c>
      <c r="H1646">
        <v>2010</v>
      </c>
      <c r="I1646" s="1">
        <v>1219.3</v>
      </c>
      <c r="J1646" s="1">
        <v>1998.85</v>
      </c>
      <c r="K1646" s="1">
        <v>1219.3</v>
      </c>
    </row>
    <row r="1647" spans="1:11" x14ac:dyDescent="0.35">
      <c r="A1647">
        <v>728125</v>
      </c>
      <c r="B1647">
        <v>1970021</v>
      </c>
      <c r="C1647" t="str">
        <f>"SANGER INDEP SCHOOL DISTRICT"</f>
        <v>SANGER INDEP SCHOOL DISTRICT</v>
      </c>
      <c r="D1647" t="s">
        <v>11</v>
      </c>
      <c r="E1647" t="s">
        <v>1356</v>
      </c>
      <c r="F1647" t="s">
        <v>1357</v>
      </c>
      <c r="G1647">
        <v>76266</v>
      </c>
      <c r="H1647">
        <v>2010</v>
      </c>
      <c r="I1647" s="1">
        <v>4355.3999999999996</v>
      </c>
      <c r="J1647" s="1">
        <v>7140</v>
      </c>
      <c r="K1647" s="1">
        <v>4355.3999999999996</v>
      </c>
    </row>
    <row r="1648" spans="1:11" x14ac:dyDescent="0.35">
      <c r="A1648">
        <v>761100</v>
      </c>
      <c r="B1648">
        <v>2056108</v>
      </c>
      <c r="C1648" t="str">
        <f>"SANGER INDEP SCHOOL DISTRICT"</f>
        <v>SANGER INDEP SCHOOL DISTRICT</v>
      </c>
      <c r="D1648" t="s">
        <v>11</v>
      </c>
      <c r="E1648" t="s">
        <v>1356</v>
      </c>
      <c r="F1648" t="s">
        <v>1357</v>
      </c>
      <c r="G1648">
        <v>76266</v>
      </c>
      <c r="H1648">
        <v>2010</v>
      </c>
      <c r="I1648" s="1">
        <v>8070.36</v>
      </c>
      <c r="J1648" s="1">
        <v>13230.1</v>
      </c>
      <c r="K1648" s="1">
        <v>8070.36</v>
      </c>
    </row>
    <row r="1649" spans="1:11" x14ac:dyDescent="0.35">
      <c r="A1649">
        <v>747861</v>
      </c>
      <c r="B1649">
        <v>2018897</v>
      </c>
      <c r="C1649" t="str">
        <f>"SANTA ANNA INDEP SCHOOL DIST"</f>
        <v>SANTA ANNA INDEP SCHOOL DIST</v>
      </c>
      <c r="D1649" t="s">
        <v>11</v>
      </c>
      <c r="E1649" t="s">
        <v>1358</v>
      </c>
      <c r="F1649" t="s">
        <v>1359</v>
      </c>
      <c r="G1649">
        <v>76878</v>
      </c>
      <c r="H1649">
        <v>2010</v>
      </c>
      <c r="I1649" s="1">
        <v>619.20000000000005</v>
      </c>
      <c r="J1649" s="1">
        <v>720</v>
      </c>
    </row>
    <row r="1650" spans="1:11" x14ac:dyDescent="0.35">
      <c r="A1650">
        <v>713985</v>
      </c>
      <c r="B1650">
        <v>1944115</v>
      </c>
      <c r="C1650" t="str">
        <f>"SANTA FE I.S.D."</f>
        <v>SANTA FE I.S.D.</v>
      </c>
      <c r="D1650" t="s">
        <v>11</v>
      </c>
      <c r="E1650" t="s">
        <v>1360</v>
      </c>
      <c r="F1650" t="s">
        <v>1361</v>
      </c>
      <c r="G1650">
        <v>77510</v>
      </c>
      <c r="H1650">
        <v>2010</v>
      </c>
      <c r="I1650" s="1">
        <v>6600</v>
      </c>
      <c r="J1650" s="1">
        <v>12000</v>
      </c>
      <c r="K1650" s="1">
        <v>6600</v>
      </c>
    </row>
    <row r="1651" spans="1:11" x14ac:dyDescent="0.35">
      <c r="A1651">
        <v>732285</v>
      </c>
      <c r="B1651">
        <v>1980557</v>
      </c>
      <c r="C1651" t="str">
        <f>"SANTA GERTRUDIS INDEP SCH DIST"</f>
        <v>SANTA GERTRUDIS INDEP SCH DIST</v>
      </c>
      <c r="D1651" t="s">
        <v>11</v>
      </c>
      <c r="E1651" t="s">
        <v>1362</v>
      </c>
      <c r="F1651" t="s">
        <v>814</v>
      </c>
      <c r="G1651">
        <v>78364</v>
      </c>
      <c r="H1651">
        <v>2010</v>
      </c>
      <c r="I1651" s="1">
        <v>12728.66</v>
      </c>
      <c r="J1651" s="1">
        <v>19582.560000000001</v>
      </c>
      <c r="K1651" s="1">
        <v>12728.66</v>
      </c>
    </row>
    <row r="1652" spans="1:11" x14ac:dyDescent="0.35">
      <c r="A1652">
        <v>752554</v>
      </c>
      <c r="B1652">
        <v>2042210</v>
      </c>
      <c r="C1652" t="str">
        <f>"SANTA MARIA INDEP SCHOOL DIST"</f>
        <v>SANTA MARIA INDEP SCHOOL DIST</v>
      </c>
      <c r="D1652" t="s">
        <v>11</v>
      </c>
      <c r="E1652" t="s">
        <v>1363</v>
      </c>
      <c r="F1652" t="s">
        <v>1364</v>
      </c>
      <c r="G1652">
        <v>78592</v>
      </c>
      <c r="H1652">
        <v>2010</v>
      </c>
      <c r="I1652" s="1">
        <v>34646.400000000001</v>
      </c>
      <c r="J1652" s="1">
        <v>38496</v>
      </c>
      <c r="K1652" s="1">
        <v>34646.400000000001</v>
      </c>
    </row>
    <row r="1653" spans="1:11" x14ac:dyDescent="0.35">
      <c r="A1653">
        <v>752581</v>
      </c>
      <c r="B1653">
        <v>2038938</v>
      </c>
      <c r="C1653" t="str">
        <f>"SANTA MARIA INDEP SCHOOL DIST"</f>
        <v>SANTA MARIA INDEP SCHOOL DIST</v>
      </c>
      <c r="D1653" t="s">
        <v>11</v>
      </c>
      <c r="E1653" t="s">
        <v>1363</v>
      </c>
      <c r="F1653" t="s">
        <v>1364</v>
      </c>
      <c r="G1653">
        <v>78592</v>
      </c>
      <c r="H1653">
        <v>2010</v>
      </c>
      <c r="I1653" s="1">
        <v>2835.86</v>
      </c>
      <c r="J1653" s="1">
        <v>3150.96</v>
      </c>
      <c r="K1653" s="1">
        <v>2835.86</v>
      </c>
    </row>
    <row r="1654" spans="1:11" x14ac:dyDescent="0.35">
      <c r="A1654">
        <v>762105</v>
      </c>
      <c r="B1654">
        <v>2061076</v>
      </c>
      <c r="C1654" t="str">
        <f>"SANTA ROSA INDEP SCHOOL DIST"</f>
        <v>SANTA ROSA INDEP SCHOOL DIST</v>
      </c>
      <c r="D1654" t="s">
        <v>11</v>
      </c>
      <c r="E1654" t="s">
        <v>1365</v>
      </c>
      <c r="F1654" t="s">
        <v>1366</v>
      </c>
      <c r="G1654">
        <v>78593</v>
      </c>
      <c r="H1654">
        <v>2010</v>
      </c>
      <c r="I1654" s="1">
        <v>34646.400000000001</v>
      </c>
      <c r="J1654" s="1">
        <v>38496</v>
      </c>
      <c r="K1654" s="1">
        <v>18370.8</v>
      </c>
    </row>
    <row r="1655" spans="1:11" x14ac:dyDescent="0.35">
      <c r="A1655">
        <v>762105</v>
      </c>
      <c r="B1655">
        <v>2061122</v>
      </c>
      <c r="C1655" t="str">
        <f>"SANTA ROSA INDEP SCHOOL DIST"</f>
        <v>SANTA ROSA INDEP SCHOOL DIST</v>
      </c>
      <c r="D1655" t="s">
        <v>11</v>
      </c>
      <c r="E1655" t="s">
        <v>1365</v>
      </c>
      <c r="F1655" t="s">
        <v>1366</v>
      </c>
      <c r="G1655">
        <v>78593</v>
      </c>
      <c r="H1655">
        <v>2010</v>
      </c>
      <c r="I1655" s="1">
        <v>2504.09</v>
      </c>
      <c r="J1655" s="1">
        <v>2782.32</v>
      </c>
      <c r="K1655" s="1">
        <v>2504.09</v>
      </c>
    </row>
    <row r="1656" spans="1:11" x14ac:dyDescent="0.35">
      <c r="A1656">
        <v>768020</v>
      </c>
      <c r="B1656">
        <v>2078520</v>
      </c>
      <c r="C1656" t="str">
        <f>"SANTO INDEP SCHOOL DISTRICT"</f>
        <v>SANTO INDEP SCHOOL DISTRICT</v>
      </c>
      <c r="D1656" t="s">
        <v>11</v>
      </c>
      <c r="E1656" t="s">
        <v>1367</v>
      </c>
      <c r="F1656" t="s">
        <v>1368</v>
      </c>
      <c r="G1656">
        <v>76472</v>
      </c>
      <c r="H1656">
        <v>2010</v>
      </c>
      <c r="I1656" s="1">
        <v>11060.4</v>
      </c>
      <c r="J1656" s="1">
        <v>17016</v>
      </c>
    </row>
    <row r="1657" spans="1:11" x14ac:dyDescent="0.35">
      <c r="A1657">
        <v>768020</v>
      </c>
      <c r="B1657">
        <v>2078569</v>
      </c>
      <c r="C1657" t="str">
        <f>"SANTO INDEP SCHOOL DISTRICT"</f>
        <v>SANTO INDEP SCHOOL DISTRICT</v>
      </c>
      <c r="D1657" t="s">
        <v>11</v>
      </c>
      <c r="E1657" t="s">
        <v>1367</v>
      </c>
      <c r="F1657" t="s">
        <v>1368</v>
      </c>
      <c r="G1657">
        <v>76472</v>
      </c>
      <c r="H1657">
        <v>2010</v>
      </c>
      <c r="I1657" s="1">
        <v>1482</v>
      </c>
      <c r="J1657" s="1">
        <v>2280</v>
      </c>
      <c r="K1657" s="1">
        <v>1482</v>
      </c>
    </row>
    <row r="1658" spans="1:11" x14ac:dyDescent="0.35">
      <c r="A1658">
        <v>754539</v>
      </c>
      <c r="B1658">
        <v>2071313</v>
      </c>
      <c r="C1658" t="str">
        <f>"SAVOY INDEP SCHOOL DISTRICT"</f>
        <v>SAVOY INDEP SCHOOL DISTRICT</v>
      </c>
      <c r="D1658" t="s">
        <v>11</v>
      </c>
      <c r="E1658" t="s">
        <v>1369</v>
      </c>
      <c r="F1658" t="s">
        <v>1370</v>
      </c>
      <c r="G1658">
        <v>75479</v>
      </c>
      <c r="H1658">
        <v>2010</v>
      </c>
      <c r="I1658" s="1">
        <v>1782</v>
      </c>
      <c r="J1658" s="1">
        <v>2376</v>
      </c>
      <c r="K1658" s="1">
        <v>1782</v>
      </c>
    </row>
    <row r="1659" spans="1:11" x14ac:dyDescent="0.35">
      <c r="A1659">
        <v>719995</v>
      </c>
      <c r="B1659">
        <v>1984384</v>
      </c>
      <c r="C1659" t="str">
        <f>"SCHERTZ-CIBOLO-UNIVERSAL CITY ISD"</f>
        <v>SCHERTZ-CIBOLO-UNIVERSAL CITY ISD</v>
      </c>
      <c r="D1659" t="s">
        <v>11</v>
      </c>
      <c r="E1659" t="s">
        <v>1371</v>
      </c>
      <c r="F1659" t="s">
        <v>1372</v>
      </c>
      <c r="G1659">
        <v>78154</v>
      </c>
      <c r="H1659">
        <v>2010</v>
      </c>
      <c r="I1659" s="1">
        <v>13152</v>
      </c>
      <c r="J1659" s="1">
        <v>27400</v>
      </c>
      <c r="K1659" s="1">
        <v>13152</v>
      </c>
    </row>
    <row r="1660" spans="1:11" x14ac:dyDescent="0.35">
      <c r="A1660">
        <v>719995</v>
      </c>
      <c r="B1660">
        <v>1984388</v>
      </c>
      <c r="C1660" t="str">
        <f>"SCHERTZ-CIBOLO-UNIVERSAL CITY ISD"</f>
        <v>SCHERTZ-CIBOLO-UNIVERSAL CITY ISD</v>
      </c>
      <c r="D1660" t="s">
        <v>11</v>
      </c>
      <c r="E1660" t="s">
        <v>1371</v>
      </c>
      <c r="F1660" t="s">
        <v>1372</v>
      </c>
      <c r="G1660">
        <v>78154</v>
      </c>
      <c r="H1660">
        <v>2010</v>
      </c>
      <c r="I1660" s="1">
        <v>6048</v>
      </c>
      <c r="J1660" s="1">
        <v>12600</v>
      </c>
      <c r="K1660" s="1">
        <v>6048</v>
      </c>
    </row>
    <row r="1661" spans="1:11" x14ac:dyDescent="0.35">
      <c r="A1661">
        <v>719995</v>
      </c>
      <c r="B1661">
        <v>1984390</v>
      </c>
      <c r="C1661" t="str">
        <f>"SCHERTZ-CIBOLO-UNIVERSAL CITY ISD"</f>
        <v>SCHERTZ-CIBOLO-UNIVERSAL CITY ISD</v>
      </c>
      <c r="D1661" t="s">
        <v>11</v>
      </c>
      <c r="E1661" t="s">
        <v>1371</v>
      </c>
      <c r="F1661" t="s">
        <v>1372</v>
      </c>
      <c r="G1661">
        <v>78154</v>
      </c>
      <c r="H1661">
        <v>2010</v>
      </c>
      <c r="I1661" s="1">
        <v>2790</v>
      </c>
      <c r="J1661" s="1">
        <v>7500</v>
      </c>
      <c r="K1661" s="1">
        <v>2790</v>
      </c>
    </row>
    <row r="1662" spans="1:11" x14ac:dyDescent="0.35">
      <c r="A1662">
        <v>762263</v>
      </c>
      <c r="B1662">
        <v>2059322</v>
      </c>
      <c r="C1662" t="str">
        <f>"SCHOOL OF EXCELLENCE IN EDUCATION CHARTER SCHOOL"</f>
        <v>SCHOOL OF EXCELLENCE IN EDUCATION CHARTER SCHOOL</v>
      </c>
      <c r="D1662" t="s">
        <v>11</v>
      </c>
      <c r="E1662" t="s">
        <v>1373</v>
      </c>
      <c r="F1662" t="s">
        <v>25</v>
      </c>
      <c r="G1662">
        <v>78213</v>
      </c>
      <c r="H1662">
        <v>2010</v>
      </c>
      <c r="I1662" s="1">
        <v>6318</v>
      </c>
      <c r="J1662" s="1">
        <v>7020</v>
      </c>
      <c r="K1662" s="1">
        <v>6318</v>
      </c>
    </row>
    <row r="1663" spans="1:11" x14ac:dyDescent="0.35">
      <c r="A1663">
        <v>734946</v>
      </c>
      <c r="B1663">
        <v>1986628</v>
      </c>
      <c r="C1663" t="str">
        <f>"SCHULENBURG INDEP SCHOOL DIST"</f>
        <v>SCHULENBURG INDEP SCHOOL DIST</v>
      </c>
      <c r="D1663" t="s">
        <v>11</v>
      </c>
      <c r="E1663" t="s">
        <v>1374</v>
      </c>
      <c r="F1663" t="s">
        <v>1375</v>
      </c>
      <c r="G1663">
        <v>78956</v>
      </c>
      <c r="H1663">
        <v>2010</v>
      </c>
      <c r="I1663" s="1">
        <v>17808.62</v>
      </c>
      <c r="J1663" s="1">
        <v>23432.400000000001</v>
      </c>
      <c r="K1663" s="1">
        <v>17808.62</v>
      </c>
    </row>
    <row r="1664" spans="1:11" x14ac:dyDescent="0.35">
      <c r="A1664">
        <v>748882</v>
      </c>
      <c r="B1664">
        <v>2022406</v>
      </c>
      <c r="C1664" t="str">
        <f>"SCURRY-ROSSER INDEP SCH DIST"</f>
        <v>SCURRY-ROSSER INDEP SCH DIST</v>
      </c>
      <c r="D1664" t="s">
        <v>11</v>
      </c>
      <c r="E1664" t="s">
        <v>1376</v>
      </c>
      <c r="F1664" t="s">
        <v>1377</v>
      </c>
      <c r="G1664">
        <v>75158</v>
      </c>
      <c r="H1664">
        <v>2010</v>
      </c>
      <c r="I1664" s="1">
        <v>460.06</v>
      </c>
      <c r="J1664" s="1">
        <v>766.77</v>
      </c>
      <c r="K1664" s="1">
        <v>460.06</v>
      </c>
    </row>
    <row r="1665" spans="1:11" x14ac:dyDescent="0.35">
      <c r="A1665">
        <v>748913</v>
      </c>
      <c r="B1665">
        <v>2022534</v>
      </c>
      <c r="C1665" t="str">
        <f>"SCURRY-ROSSER INDEP SCH DIST"</f>
        <v>SCURRY-ROSSER INDEP SCH DIST</v>
      </c>
      <c r="D1665" t="s">
        <v>11</v>
      </c>
      <c r="E1665" t="s">
        <v>1376</v>
      </c>
      <c r="F1665" t="s">
        <v>1377</v>
      </c>
      <c r="G1665">
        <v>75158</v>
      </c>
      <c r="H1665">
        <v>2010</v>
      </c>
      <c r="I1665" s="1">
        <v>50629.68</v>
      </c>
      <c r="J1665" s="1">
        <v>88824</v>
      </c>
      <c r="K1665" s="1">
        <v>50629.68</v>
      </c>
    </row>
    <row r="1666" spans="1:11" x14ac:dyDescent="0.35">
      <c r="A1666">
        <v>748882</v>
      </c>
      <c r="B1666">
        <v>2022417</v>
      </c>
      <c r="C1666" t="str">
        <f>"SCURRY-ROSSER INDEP SCH DIST"</f>
        <v>SCURRY-ROSSER INDEP SCH DIST</v>
      </c>
      <c r="D1666" t="s">
        <v>11</v>
      </c>
      <c r="E1666" t="s">
        <v>1376</v>
      </c>
      <c r="F1666" t="s">
        <v>1377</v>
      </c>
      <c r="G1666">
        <v>75158</v>
      </c>
      <c r="H1666">
        <v>2010</v>
      </c>
      <c r="I1666" s="1">
        <v>279.87</v>
      </c>
      <c r="J1666" s="1">
        <v>559.73</v>
      </c>
      <c r="K1666" s="1">
        <v>279.87</v>
      </c>
    </row>
    <row r="1667" spans="1:11" x14ac:dyDescent="0.35">
      <c r="A1667">
        <v>758315</v>
      </c>
      <c r="B1667">
        <v>2049343</v>
      </c>
      <c r="C1667" t="str">
        <f>"SEAGRAVES INDEP SCHOOL DIST"</f>
        <v>SEAGRAVES INDEP SCHOOL DIST</v>
      </c>
      <c r="D1667" t="s">
        <v>11</v>
      </c>
      <c r="E1667" t="s">
        <v>1378</v>
      </c>
      <c r="F1667" t="s">
        <v>1379</v>
      </c>
      <c r="G1667">
        <v>79359</v>
      </c>
      <c r="H1667">
        <v>2010</v>
      </c>
      <c r="I1667" s="1">
        <v>1406.79</v>
      </c>
      <c r="J1667" s="1">
        <v>1827</v>
      </c>
      <c r="K1667" s="1">
        <v>1406.76</v>
      </c>
    </row>
    <row r="1668" spans="1:11" x14ac:dyDescent="0.35">
      <c r="A1668">
        <v>758315</v>
      </c>
      <c r="B1668">
        <v>2049341</v>
      </c>
      <c r="C1668" t="str">
        <f>"SEAGRAVES INDEP SCHOOL DIST"</f>
        <v>SEAGRAVES INDEP SCHOOL DIST</v>
      </c>
      <c r="D1668" t="s">
        <v>11</v>
      </c>
      <c r="E1668" t="s">
        <v>1378</v>
      </c>
      <c r="F1668" t="s">
        <v>1379</v>
      </c>
      <c r="G1668">
        <v>79359</v>
      </c>
      <c r="H1668">
        <v>2010</v>
      </c>
      <c r="I1668" s="1">
        <v>5544</v>
      </c>
      <c r="J1668" s="1">
        <v>7200</v>
      </c>
      <c r="K1668" s="1">
        <v>5544</v>
      </c>
    </row>
    <row r="1669" spans="1:11" x14ac:dyDescent="0.35">
      <c r="A1669">
        <v>739462</v>
      </c>
      <c r="B1669">
        <v>2010840</v>
      </c>
      <c r="C1669" t="str">
        <f>"SEALY INDEP SCHOOL DISTRICT"</f>
        <v>SEALY INDEP SCHOOL DISTRICT</v>
      </c>
      <c r="D1669" t="s">
        <v>11</v>
      </c>
      <c r="E1669" t="s">
        <v>1380</v>
      </c>
      <c r="F1669" t="s">
        <v>1381</v>
      </c>
      <c r="G1669">
        <v>77474</v>
      </c>
      <c r="H1669">
        <v>2010</v>
      </c>
      <c r="I1669" s="1">
        <v>6400.03</v>
      </c>
      <c r="J1669" s="1">
        <v>8000.04</v>
      </c>
      <c r="K1669" s="1">
        <v>0</v>
      </c>
    </row>
    <row r="1670" spans="1:11" x14ac:dyDescent="0.35">
      <c r="A1670">
        <v>739462</v>
      </c>
      <c r="B1670">
        <v>2008511</v>
      </c>
      <c r="C1670" t="str">
        <f>"SEALY INDEP SCHOOL DISTRICT"</f>
        <v>SEALY INDEP SCHOOL DISTRICT</v>
      </c>
      <c r="D1670" t="s">
        <v>11</v>
      </c>
      <c r="E1670" t="s">
        <v>1380</v>
      </c>
      <c r="F1670" t="s">
        <v>1381</v>
      </c>
      <c r="G1670">
        <v>77474</v>
      </c>
      <c r="H1670">
        <v>2010</v>
      </c>
      <c r="I1670" s="1">
        <v>19512</v>
      </c>
      <c r="J1670" s="1">
        <v>24390</v>
      </c>
      <c r="K1670" s="1">
        <v>19512</v>
      </c>
    </row>
    <row r="1671" spans="1:11" x14ac:dyDescent="0.35">
      <c r="A1671">
        <v>739462</v>
      </c>
      <c r="B1671">
        <v>2013666</v>
      </c>
      <c r="C1671" t="str">
        <f>"SEALY INDEP SCHOOL DISTRICT"</f>
        <v>SEALY INDEP SCHOOL DISTRICT</v>
      </c>
      <c r="D1671" t="s">
        <v>11</v>
      </c>
      <c r="E1671" t="s">
        <v>1380</v>
      </c>
      <c r="F1671" t="s">
        <v>1381</v>
      </c>
      <c r="G1671">
        <v>77474</v>
      </c>
      <c r="H1671">
        <v>2010</v>
      </c>
      <c r="I1671" s="1">
        <v>2303.62</v>
      </c>
      <c r="J1671" s="1">
        <v>2879.52</v>
      </c>
      <c r="K1671" s="1">
        <v>1434.05</v>
      </c>
    </row>
    <row r="1672" spans="1:11" x14ac:dyDescent="0.35">
      <c r="A1672">
        <v>732232</v>
      </c>
      <c r="B1672">
        <v>1980292</v>
      </c>
      <c r="C1672" t="str">
        <f>"SEASHORE LEARNING CENTER"</f>
        <v>SEASHORE LEARNING CENTER</v>
      </c>
      <c r="D1672" t="s">
        <v>11</v>
      </c>
      <c r="E1672" t="s">
        <v>1382</v>
      </c>
      <c r="F1672" t="s">
        <v>232</v>
      </c>
      <c r="G1672">
        <v>78418</v>
      </c>
      <c r="H1672">
        <v>2010</v>
      </c>
      <c r="I1672" s="1">
        <v>1000.01</v>
      </c>
      <c r="J1672" s="1">
        <v>5000.04</v>
      </c>
      <c r="K1672" s="1">
        <v>1000.01</v>
      </c>
    </row>
    <row r="1673" spans="1:11" x14ac:dyDescent="0.35">
      <c r="A1673">
        <v>732417</v>
      </c>
      <c r="B1673">
        <v>1980747</v>
      </c>
      <c r="C1673" t="str">
        <f>"SEASHORE MIDDLE ACADEMY"</f>
        <v>SEASHORE MIDDLE ACADEMY</v>
      </c>
      <c r="D1673" t="s">
        <v>11</v>
      </c>
      <c r="E1673" t="s">
        <v>1383</v>
      </c>
      <c r="F1673" t="s">
        <v>1384</v>
      </c>
      <c r="G1673">
        <v>78418</v>
      </c>
      <c r="H1673">
        <v>2010</v>
      </c>
      <c r="I1673" s="1">
        <v>2000.02</v>
      </c>
      <c r="J1673" s="1">
        <v>5000.04</v>
      </c>
      <c r="K1673" s="1">
        <v>2000.02</v>
      </c>
    </row>
    <row r="1674" spans="1:11" x14ac:dyDescent="0.35">
      <c r="A1674">
        <v>767594</v>
      </c>
      <c r="B1674">
        <v>2076620</v>
      </c>
      <c r="C1674" t="str">
        <f>"SEGUIN ISD"</f>
        <v>SEGUIN ISD</v>
      </c>
      <c r="D1674" t="s">
        <v>11</v>
      </c>
      <c r="E1674" t="s">
        <v>1385</v>
      </c>
      <c r="F1674" t="s">
        <v>1075</v>
      </c>
      <c r="G1674">
        <v>78155</v>
      </c>
      <c r="H1674">
        <v>2010</v>
      </c>
      <c r="I1674" s="1">
        <v>0</v>
      </c>
      <c r="J1674" s="1">
        <v>0</v>
      </c>
    </row>
    <row r="1675" spans="1:11" x14ac:dyDescent="0.35">
      <c r="A1675">
        <v>750456</v>
      </c>
      <c r="B1675">
        <v>2027011</v>
      </c>
      <c r="C1675" t="str">
        <f>"SEMINOLE INDEP SCHOOL DISTRICT"</f>
        <v>SEMINOLE INDEP SCHOOL DISTRICT</v>
      </c>
      <c r="D1675" t="s">
        <v>11</v>
      </c>
      <c r="E1675" t="s">
        <v>1386</v>
      </c>
      <c r="F1675" t="s">
        <v>1387</v>
      </c>
      <c r="G1675">
        <v>79360</v>
      </c>
      <c r="H1675">
        <v>2010</v>
      </c>
      <c r="I1675" s="1">
        <v>156.13999999999999</v>
      </c>
      <c r="J1675" s="1">
        <v>1500</v>
      </c>
      <c r="K1675" s="1">
        <v>156.13999999999999</v>
      </c>
    </row>
    <row r="1676" spans="1:11" x14ac:dyDescent="0.35">
      <c r="A1676">
        <v>750456</v>
      </c>
      <c r="B1676">
        <v>2027013</v>
      </c>
      <c r="C1676" t="str">
        <f>"SEMINOLE INDEP SCHOOL DISTRICT"</f>
        <v>SEMINOLE INDEP SCHOOL DISTRICT</v>
      </c>
      <c r="D1676" t="s">
        <v>11</v>
      </c>
      <c r="E1676" t="s">
        <v>1386</v>
      </c>
      <c r="F1676" t="s">
        <v>1387</v>
      </c>
      <c r="G1676">
        <v>79360</v>
      </c>
      <c r="H1676">
        <v>2010</v>
      </c>
      <c r="I1676" s="1">
        <v>3556.8</v>
      </c>
      <c r="J1676" s="1">
        <v>5280</v>
      </c>
      <c r="K1676" s="1">
        <v>3556.8</v>
      </c>
    </row>
    <row r="1677" spans="1:11" x14ac:dyDescent="0.35">
      <c r="A1677">
        <v>750456</v>
      </c>
      <c r="B1677">
        <v>2027010</v>
      </c>
      <c r="C1677" t="str">
        <f>"SEMINOLE INDEP SCHOOL DISTRICT"</f>
        <v>SEMINOLE INDEP SCHOOL DISTRICT</v>
      </c>
      <c r="D1677" t="s">
        <v>11</v>
      </c>
      <c r="E1677" t="s">
        <v>1386</v>
      </c>
      <c r="F1677" t="s">
        <v>1387</v>
      </c>
      <c r="G1677">
        <v>79360</v>
      </c>
      <c r="H1677">
        <v>2010</v>
      </c>
      <c r="I1677" s="1">
        <v>1164.24</v>
      </c>
      <c r="J1677" s="1">
        <v>1617</v>
      </c>
      <c r="K1677" s="1">
        <v>1164.24</v>
      </c>
    </row>
    <row r="1678" spans="1:11" x14ac:dyDescent="0.35">
      <c r="A1678">
        <v>750456</v>
      </c>
      <c r="B1678">
        <v>2027006</v>
      </c>
      <c r="C1678" t="str">
        <f>"SEMINOLE INDEP SCHOOL DISTRICT"</f>
        <v>SEMINOLE INDEP SCHOOL DISTRICT</v>
      </c>
      <c r="D1678" t="s">
        <v>11</v>
      </c>
      <c r="E1678" t="s">
        <v>1386</v>
      </c>
      <c r="F1678" t="s">
        <v>1387</v>
      </c>
      <c r="G1678">
        <v>79360</v>
      </c>
      <c r="H1678">
        <v>2010</v>
      </c>
      <c r="I1678" s="1">
        <v>12441.6</v>
      </c>
      <c r="J1678" s="1">
        <v>17280</v>
      </c>
      <c r="K1678" s="1">
        <v>12441.6</v>
      </c>
    </row>
    <row r="1679" spans="1:11" x14ac:dyDescent="0.35">
      <c r="A1679">
        <v>750456</v>
      </c>
      <c r="B1679">
        <v>2027007</v>
      </c>
      <c r="C1679" t="str">
        <f>"SEMINOLE INDEP SCHOOL DISTRICT"</f>
        <v>SEMINOLE INDEP SCHOOL DISTRICT</v>
      </c>
      <c r="D1679" t="s">
        <v>11</v>
      </c>
      <c r="E1679" t="s">
        <v>1386</v>
      </c>
      <c r="F1679" t="s">
        <v>1387</v>
      </c>
      <c r="G1679">
        <v>79360</v>
      </c>
      <c r="H1679">
        <v>2010</v>
      </c>
      <c r="I1679" s="1">
        <v>21469.54</v>
      </c>
      <c r="J1679" s="1">
        <v>38700</v>
      </c>
      <c r="K1679" s="1">
        <v>21469.54</v>
      </c>
    </row>
    <row r="1680" spans="1:11" x14ac:dyDescent="0.35">
      <c r="A1680">
        <v>739456</v>
      </c>
      <c r="B1680">
        <v>2010846</v>
      </c>
      <c r="C1680" t="str">
        <f>"SEYMOUR INDEP SCHOOL DISTRICT"</f>
        <v>SEYMOUR INDEP SCHOOL DISTRICT</v>
      </c>
      <c r="D1680" t="s">
        <v>11</v>
      </c>
      <c r="E1680" t="s">
        <v>1388</v>
      </c>
      <c r="F1680" t="s">
        <v>1389</v>
      </c>
      <c r="G1680">
        <v>76380</v>
      </c>
      <c r="H1680">
        <v>2010</v>
      </c>
      <c r="I1680" s="1">
        <v>1350.18</v>
      </c>
      <c r="J1680" s="1">
        <v>1824.57</v>
      </c>
      <c r="K1680" s="1">
        <v>1350.18</v>
      </c>
    </row>
    <row r="1681" spans="1:11" x14ac:dyDescent="0.35">
      <c r="A1681">
        <v>739456</v>
      </c>
      <c r="B1681">
        <v>2010920</v>
      </c>
      <c r="C1681" t="str">
        <f>"SEYMOUR INDEP SCHOOL DISTRICT"</f>
        <v>SEYMOUR INDEP SCHOOL DISTRICT</v>
      </c>
      <c r="D1681" t="s">
        <v>11</v>
      </c>
      <c r="E1681" t="s">
        <v>1388</v>
      </c>
      <c r="F1681" t="s">
        <v>1389</v>
      </c>
      <c r="G1681">
        <v>76380</v>
      </c>
      <c r="H1681">
        <v>2010</v>
      </c>
      <c r="I1681" s="1">
        <v>6135.19</v>
      </c>
      <c r="J1681" s="1">
        <v>8290.7999999999993</v>
      </c>
      <c r="K1681" s="1">
        <v>5573.53</v>
      </c>
    </row>
    <row r="1682" spans="1:11" x14ac:dyDescent="0.35">
      <c r="A1682">
        <v>739456</v>
      </c>
      <c r="B1682">
        <v>2010996</v>
      </c>
      <c r="C1682" t="str">
        <f>"SEYMOUR INDEP SCHOOL DISTRICT"</f>
        <v>SEYMOUR INDEP SCHOOL DISTRICT</v>
      </c>
      <c r="D1682" t="s">
        <v>11</v>
      </c>
      <c r="E1682" t="s">
        <v>1388</v>
      </c>
      <c r="F1682" t="s">
        <v>1389</v>
      </c>
      <c r="G1682">
        <v>76380</v>
      </c>
      <c r="H1682">
        <v>2010</v>
      </c>
      <c r="I1682" s="1">
        <v>17987.68</v>
      </c>
      <c r="J1682" s="1">
        <v>24307.68</v>
      </c>
      <c r="K1682" s="1">
        <v>12437.68</v>
      </c>
    </row>
    <row r="1683" spans="1:11" x14ac:dyDescent="0.35">
      <c r="A1683">
        <v>755927</v>
      </c>
      <c r="B1683">
        <v>2077268</v>
      </c>
      <c r="C1683" t="str">
        <f>"SHALLOWATER INDEP SCHOOL DIST"</f>
        <v>SHALLOWATER INDEP SCHOOL DIST</v>
      </c>
      <c r="D1683" t="s">
        <v>11</v>
      </c>
      <c r="E1683" t="s">
        <v>1390</v>
      </c>
      <c r="F1683" t="s">
        <v>1391</v>
      </c>
      <c r="G1683">
        <v>79363</v>
      </c>
      <c r="H1683">
        <v>2010</v>
      </c>
      <c r="I1683" s="1">
        <v>1154.3599999999999</v>
      </c>
      <c r="J1683" s="1">
        <v>1892.4</v>
      </c>
      <c r="K1683" s="1">
        <v>1154.3599999999999</v>
      </c>
    </row>
    <row r="1684" spans="1:11" x14ac:dyDescent="0.35">
      <c r="A1684">
        <v>755927</v>
      </c>
      <c r="B1684">
        <v>2074704</v>
      </c>
      <c r="C1684" t="str">
        <f>"SHALLOWATER INDEP SCHOOL DIST"</f>
        <v>SHALLOWATER INDEP SCHOOL DIST</v>
      </c>
      <c r="D1684" t="s">
        <v>11</v>
      </c>
      <c r="E1684" t="s">
        <v>1390</v>
      </c>
      <c r="F1684" t="s">
        <v>1391</v>
      </c>
      <c r="G1684">
        <v>79363</v>
      </c>
      <c r="H1684">
        <v>2010</v>
      </c>
      <c r="I1684" s="1">
        <v>386.42</v>
      </c>
      <c r="J1684" s="1">
        <v>633.48</v>
      </c>
      <c r="K1684" s="1">
        <v>360.22</v>
      </c>
    </row>
    <row r="1685" spans="1:11" x14ac:dyDescent="0.35">
      <c r="A1685">
        <v>755927</v>
      </c>
      <c r="B1685">
        <v>2074947</v>
      </c>
      <c r="C1685" t="str">
        <f>"SHALLOWATER INDEP SCHOOL DIST"</f>
        <v>SHALLOWATER INDEP SCHOOL DIST</v>
      </c>
      <c r="D1685" t="s">
        <v>11</v>
      </c>
      <c r="E1685" t="s">
        <v>1390</v>
      </c>
      <c r="F1685" t="s">
        <v>1391</v>
      </c>
      <c r="G1685">
        <v>79363</v>
      </c>
      <c r="H1685">
        <v>2010</v>
      </c>
      <c r="I1685" s="1">
        <v>1114.47</v>
      </c>
      <c r="J1685" s="1">
        <v>1827</v>
      </c>
      <c r="K1685" s="1">
        <v>1114.47</v>
      </c>
    </row>
    <row r="1686" spans="1:11" x14ac:dyDescent="0.35">
      <c r="A1686">
        <v>755927</v>
      </c>
      <c r="B1686">
        <v>2074736</v>
      </c>
      <c r="C1686" t="str">
        <f>"SHALLOWATER INDEP SCHOOL DIST"</f>
        <v>SHALLOWATER INDEP SCHOOL DIST</v>
      </c>
      <c r="D1686" t="s">
        <v>11</v>
      </c>
      <c r="E1686" t="s">
        <v>1390</v>
      </c>
      <c r="F1686" t="s">
        <v>1391</v>
      </c>
      <c r="G1686">
        <v>79363</v>
      </c>
      <c r="H1686">
        <v>2010</v>
      </c>
      <c r="I1686" s="1">
        <v>8784</v>
      </c>
      <c r="J1686" s="1">
        <v>14400</v>
      </c>
      <c r="K1686" s="1">
        <v>5490</v>
      </c>
    </row>
    <row r="1687" spans="1:11" x14ac:dyDescent="0.35">
      <c r="A1687">
        <v>726971</v>
      </c>
      <c r="B1687">
        <v>1997525</v>
      </c>
      <c r="C1687" t="str">
        <f>"SHAMROCK INDEP SCHOOL DISTRICT"</f>
        <v>SHAMROCK INDEP SCHOOL DISTRICT</v>
      </c>
      <c r="D1687" t="s">
        <v>11</v>
      </c>
      <c r="E1687" t="s">
        <v>1392</v>
      </c>
      <c r="F1687" t="s">
        <v>1393</v>
      </c>
      <c r="G1687">
        <v>79079</v>
      </c>
      <c r="H1687">
        <v>2010</v>
      </c>
      <c r="I1687" s="1">
        <v>8214</v>
      </c>
      <c r="J1687" s="1">
        <v>11100</v>
      </c>
      <c r="K1687" s="1">
        <v>8214</v>
      </c>
    </row>
    <row r="1688" spans="1:11" x14ac:dyDescent="0.35">
      <c r="A1688">
        <v>726971</v>
      </c>
      <c r="B1688">
        <v>1997485</v>
      </c>
      <c r="C1688" t="str">
        <f>"SHAMROCK INDEP SCHOOL DISTRICT"</f>
        <v>SHAMROCK INDEP SCHOOL DISTRICT</v>
      </c>
      <c r="D1688" t="s">
        <v>11</v>
      </c>
      <c r="E1688" t="s">
        <v>1392</v>
      </c>
      <c r="F1688" t="s">
        <v>1393</v>
      </c>
      <c r="G1688">
        <v>79079</v>
      </c>
      <c r="H1688">
        <v>2010</v>
      </c>
      <c r="I1688" s="1">
        <v>8798.6</v>
      </c>
      <c r="J1688" s="1">
        <v>11890</v>
      </c>
      <c r="K1688" s="1">
        <v>8798.6</v>
      </c>
    </row>
    <row r="1689" spans="1:11" x14ac:dyDescent="0.35">
      <c r="A1689">
        <v>752262</v>
      </c>
      <c r="B1689">
        <v>2032657</v>
      </c>
      <c r="C1689" t="str">
        <f>"SHARYLAND INDEP SCHOOL DIST"</f>
        <v>SHARYLAND INDEP SCHOOL DIST</v>
      </c>
      <c r="D1689" t="s">
        <v>11</v>
      </c>
      <c r="E1689" t="s">
        <v>1394</v>
      </c>
      <c r="F1689" t="s">
        <v>1031</v>
      </c>
      <c r="G1689">
        <v>78572</v>
      </c>
      <c r="H1689">
        <v>2010</v>
      </c>
      <c r="I1689" s="1">
        <v>32256.84</v>
      </c>
      <c r="J1689" s="1">
        <v>41892</v>
      </c>
      <c r="K1689" s="1">
        <v>32256.84</v>
      </c>
    </row>
    <row r="1690" spans="1:11" x14ac:dyDescent="0.35">
      <c r="A1690">
        <v>752262</v>
      </c>
      <c r="B1690">
        <v>2032692</v>
      </c>
      <c r="C1690" t="str">
        <f>"SHARYLAND INDEP SCHOOL DIST"</f>
        <v>SHARYLAND INDEP SCHOOL DIST</v>
      </c>
      <c r="D1690" t="s">
        <v>11</v>
      </c>
      <c r="E1690" t="s">
        <v>1394</v>
      </c>
      <c r="F1690" t="s">
        <v>1031</v>
      </c>
      <c r="G1690">
        <v>78572</v>
      </c>
      <c r="H1690">
        <v>2010</v>
      </c>
      <c r="I1690" s="1">
        <v>6682.09</v>
      </c>
      <c r="J1690" s="1">
        <v>8678.0400000000009</v>
      </c>
      <c r="K1690" s="1">
        <v>6681.99</v>
      </c>
    </row>
    <row r="1691" spans="1:11" x14ac:dyDescent="0.35">
      <c r="A1691">
        <v>752262</v>
      </c>
      <c r="B1691">
        <v>2032735</v>
      </c>
      <c r="C1691" t="str">
        <f>"SHARYLAND INDEP SCHOOL DIST"</f>
        <v>SHARYLAND INDEP SCHOOL DIST</v>
      </c>
      <c r="D1691" t="s">
        <v>11</v>
      </c>
      <c r="E1691" t="s">
        <v>1394</v>
      </c>
      <c r="F1691" t="s">
        <v>1031</v>
      </c>
      <c r="G1691">
        <v>78572</v>
      </c>
      <c r="H1691">
        <v>2010</v>
      </c>
      <c r="I1691" s="1">
        <v>18865</v>
      </c>
      <c r="J1691" s="1">
        <v>24500</v>
      </c>
      <c r="K1691" s="1">
        <v>18865</v>
      </c>
    </row>
    <row r="1692" spans="1:11" x14ac:dyDescent="0.35">
      <c r="A1692">
        <v>767843</v>
      </c>
      <c r="B1692">
        <v>2077204</v>
      </c>
      <c r="C1692" t="str">
        <f>"SHEKINAH RADIANCE CHARTER SCHOOL"</f>
        <v>SHEKINAH RADIANCE CHARTER SCHOOL</v>
      </c>
      <c r="D1692" t="s">
        <v>11</v>
      </c>
      <c r="E1692" t="s">
        <v>1395</v>
      </c>
      <c r="F1692" t="s">
        <v>25</v>
      </c>
      <c r="G1692">
        <v>78239</v>
      </c>
      <c r="H1692">
        <v>2010</v>
      </c>
      <c r="I1692" s="1">
        <v>4320</v>
      </c>
      <c r="J1692" s="1">
        <v>4800</v>
      </c>
    </row>
    <row r="1693" spans="1:11" x14ac:dyDescent="0.35">
      <c r="A1693">
        <v>767843</v>
      </c>
      <c r="B1693">
        <v>2077329</v>
      </c>
      <c r="C1693" t="str">
        <f>"SHEKINAH RADIANCE CHARTER SCHOOL"</f>
        <v>SHEKINAH RADIANCE CHARTER SCHOOL</v>
      </c>
      <c r="D1693" t="s">
        <v>11</v>
      </c>
      <c r="E1693" t="s">
        <v>1395</v>
      </c>
      <c r="F1693" t="s">
        <v>25</v>
      </c>
      <c r="G1693">
        <v>78239</v>
      </c>
      <c r="H1693">
        <v>2010</v>
      </c>
      <c r="I1693" s="1">
        <v>49831.199999999997</v>
      </c>
      <c r="J1693" s="1">
        <v>55368</v>
      </c>
    </row>
    <row r="1694" spans="1:11" x14ac:dyDescent="0.35">
      <c r="A1694">
        <v>767843</v>
      </c>
      <c r="B1694">
        <v>2077221</v>
      </c>
      <c r="C1694" t="str">
        <f>"SHEKINAH RADIANCE CHARTER SCHOOL"</f>
        <v>SHEKINAH RADIANCE CHARTER SCHOOL</v>
      </c>
      <c r="D1694" t="s">
        <v>11</v>
      </c>
      <c r="E1694" t="s">
        <v>1395</v>
      </c>
      <c r="F1694" t="s">
        <v>25</v>
      </c>
      <c r="G1694">
        <v>78239</v>
      </c>
      <c r="H1694">
        <v>2010</v>
      </c>
      <c r="I1694" s="1">
        <v>3840</v>
      </c>
      <c r="J1694" s="1">
        <v>4800</v>
      </c>
    </row>
    <row r="1695" spans="1:11" x14ac:dyDescent="0.35">
      <c r="A1695">
        <v>767843</v>
      </c>
      <c r="B1695">
        <v>2077288</v>
      </c>
      <c r="C1695" t="str">
        <f>"SHEKINAH RADIANCE CHARTER SCHOOL"</f>
        <v>SHEKINAH RADIANCE CHARTER SCHOOL</v>
      </c>
      <c r="D1695" t="s">
        <v>11</v>
      </c>
      <c r="E1695" t="s">
        <v>1395</v>
      </c>
      <c r="F1695" t="s">
        <v>25</v>
      </c>
      <c r="G1695">
        <v>78239</v>
      </c>
      <c r="H1695">
        <v>2010</v>
      </c>
      <c r="I1695" s="1">
        <v>2880</v>
      </c>
      <c r="J1695" s="1">
        <v>4800</v>
      </c>
    </row>
    <row r="1696" spans="1:11" x14ac:dyDescent="0.35">
      <c r="A1696">
        <v>767843</v>
      </c>
      <c r="B1696">
        <v>2077172</v>
      </c>
      <c r="C1696" t="str">
        <f>"SHEKINAH RADIANCE CHARTER SCHOOL"</f>
        <v>SHEKINAH RADIANCE CHARTER SCHOOL</v>
      </c>
      <c r="D1696" t="s">
        <v>11</v>
      </c>
      <c r="E1696" t="s">
        <v>1395</v>
      </c>
      <c r="F1696" t="s">
        <v>25</v>
      </c>
      <c r="G1696">
        <v>78239</v>
      </c>
      <c r="H1696">
        <v>2010</v>
      </c>
      <c r="I1696" s="1">
        <v>4320</v>
      </c>
      <c r="J1696" s="1">
        <v>4800</v>
      </c>
    </row>
    <row r="1697" spans="1:11" x14ac:dyDescent="0.35">
      <c r="A1697">
        <v>720859</v>
      </c>
      <c r="B1697">
        <v>1955888</v>
      </c>
      <c r="C1697" t="str">
        <f>"SHELBYVILLE SCHOOL DISTRICT"</f>
        <v>SHELBYVILLE SCHOOL DISTRICT</v>
      </c>
      <c r="D1697" t="s">
        <v>11</v>
      </c>
      <c r="E1697" t="s">
        <v>1396</v>
      </c>
      <c r="F1697" t="s">
        <v>1397</v>
      </c>
      <c r="G1697">
        <v>75973</v>
      </c>
      <c r="H1697">
        <v>2010</v>
      </c>
      <c r="I1697" s="1">
        <v>0</v>
      </c>
      <c r="J1697" s="1">
        <v>0</v>
      </c>
    </row>
    <row r="1698" spans="1:11" x14ac:dyDescent="0.35">
      <c r="A1698">
        <v>720859</v>
      </c>
      <c r="B1698">
        <v>1955881</v>
      </c>
      <c r="C1698" t="str">
        <f>"SHELBYVILLE SCHOOL DISTRICT"</f>
        <v>SHELBYVILLE SCHOOL DISTRICT</v>
      </c>
      <c r="D1698" t="s">
        <v>11</v>
      </c>
      <c r="E1698" t="s">
        <v>1396</v>
      </c>
      <c r="F1698" t="s">
        <v>1397</v>
      </c>
      <c r="G1698">
        <v>75973</v>
      </c>
      <c r="H1698">
        <v>2010</v>
      </c>
      <c r="I1698" s="1">
        <v>4320</v>
      </c>
      <c r="J1698" s="1">
        <v>5400</v>
      </c>
      <c r="K1698" s="1">
        <v>4160</v>
      </c>
    </row>
    <row r="1699" spans="1:11" x14ac:dyDescent="0.35">
      <c r="A1699">
        <v>719997</v>
      </c>
      <c r="B1699">
        <v>1990745</v>
      </c>
      <c r="C1699" t="str">
        <f>"SHELDON INDEP SCHOOL DISTRICT"</f>
        <v>SHELDON INDEP SCHOOL DISTRICT</v>
      </c>
      <c r="D1699" t="s">
        <v>11</v>
      </c>
      <c r="E1699" t="s">
        <v>1398</v>
      </c>
      <c r="F1699" t="s">
        <v>29</v>
      </c>
      <c r="G1699">
        <v>77044</v>
      </c>
      <c r="H1699">
        <v>2010</v>
      </c>
      <c r="I1699" s="1">
        <v>12527.28</v>
      </c>
      <c r="J1699" s="1">
        <v>23927.16</v>
      </c>
      <c r="K1699" s="1">
        <v>12527.28</v>
      </c>
    </row>
    <row r="1700" spans="1:11" x14ac:dyDescent="0.35">
      <c r="A1700">
        <v>719997</v>
      </c>
      <c r="B1700">
        <v>1990756</v>
      </c>
      <c r="C1700" t="str">
        <f>"SHELDON INDEP SCHOOL DISTRICT"</f>
        <v>SHELDON INDEP SCHOOL DISTRICT</v>
      </c>
      <c r="D1700" t="s">
        <v>11</v>
      </c>
      <c r="E1700" t="s">
        <v>1398</v>
      </c>
      <c r="F1700" t="s">
        <v>29</v>
      </c>
      <c r="G1700">
        <v>77044</v>
      </c>
      <c r="H1700">
        <v>2010</v>
      </c>
      <c r="I1700" s="1">
        <v>6361.88</v>
      </c>
      <c r="J1700" s="1">
        <v>7312.5</v>
      </c>
      <c r="K1700" s="1">
        <v>6361.88</v>
      </c>
    </row>
    <row r="1701" spans="1:11" x14ac:dyDescent="0.35">
      <c r="A1701">
        <v>746674</v>
      </c>
      <c r="B1701">
        <v>2016392</v>
      </c>
      <c r="C1701" t="str">
        <f>"SHEPHERD INDEP SCHOOL DISTRICT"</f>
        <v>SHEPHERD INDEP SCHOOL DISTRICT</v>
      </c>
      <c r="D1701" t="s">
        <v>11</v>
      </c>
      <c r="E1701" t="s">
        <v>1399</v>
      </c>
      <c r="F1701" t="s">
        <v>1400</v>
      </c>
      <c r="G1701">
        <v>77371</v>
      </c>
      <c r="H1701">
        <v>2010</v>
      </c>
      <c r="I1701" s="1">
        <v>59760</v>
      </c>
      <c r="J1701" s="1">
        <v>72000</v>
      </c>
      <c r="K1701" s="1">
        <v>59760</v>
      </c>
    </row>
    <row r="1702" spans="1:11" x14ac:dyDescent="0.35">
      <c r="A1702">
        <v>747159</v>
      </c>
      <c r="B1702">
        <v>2017027</v>
      </c>
      <c r="C1702" t="str">
        <f>"SHEPHERD INDEP SCHOOL DISTRICT"</f>
        <v>SHEPHERD INDEP SCHOOL DISTRICT</v>
      </c>
      <c r="D1702" t="s">
        <v>11</v>
      </c>
      <c r="E1702" t="s">
        <v>1399</v>
      </c>
      <c r="F1702" t="s">
        <v>1400</v>
      </c>
      <c r="G1702">
        <v>77371</v>
      </c>
      <c r="H1702">
        <v>2010</v>
      </c>
      <c r="I1702" s="1">
        <v>11952</v>
      </c>
      <c r="J1702" s="1">
        <v>14400</v>
      </c>
      <c r="K1702" s="1">
        <v>11952</v>
      </c>
    </row>
    <row r="1703" spans="1:11" x14ac:dyDescent="0.35">
      <c r="A1703">
        <v>747635</v>
      </c>
      <c r="B1703">
        <v>2018236</v>
      </c>
      <c r="C1703" t="str">
        <f>"SHEPHERD INDEP SCHOOL DISTRICT"</f>
        <v>SHEPHERD INDEP SCHOOL DISTRICT</v>
      </c>
      <c r="D1703" t="s">
        <v>11</v>
      </c>
      <c r="E1703" t="s">
        <v>1399</v>
      </c>
      <c r="F1703" t="s">
        <v>1400</v>
      </c>
      <c r="G1703">
        <v>77371</v>
      </c>
      <c r="H1703">
        <v>2010</v>
      </c>
      <c r="I1703" s="1">
        <v>24373.81</v>
      </c>
      <c r="J1703" s="1">
        <v>29366.04</v>
      </c>
      <c r="K1703" s="1">
        <v>24373.81</v>
      </c>
    </row>
    <row r="1704" spans="1:11" x14ac:dyDescent="0.35">
      <c r="A1704">
        <v>747236</v>
      </c>
      <c r="B1704">
        <v>2017239</v>
      </c>
      <c r="C1704" t="str">
        <f>"SHEPHERD INDEP SCHOOL DISTRICT"</f>
        <v>SHEPHERD INDEP SCHOOL DISTRICT</v>
      </c>
      <c r="D1704" t="s">
        <v>11</v>
      </c>
      <c r="E1704" t="s">
        <v>1399</v>
      </c>
      <c r="F1704" t="s">
        <v>1400</v>
      </c>
      <c r="G1704">
        <v>77371</v>
      </c>
      <c r="H1704">
        <v>2010</v>
      </c>
      <c r="I1704" s="1">
        <v>6951.29</v>
      </c>
      <c r="J1704" s="1">
        <v>8375.0499999999993</v>
      </c>
      <c r="K1704" s="1">
        <v>6951.29</v>
      </c>
    </row>
    <row r="1705" spans="1:11" x14ac:dyDescent="0.35">
      <c r="A1705">
        <v>742980</v>
      </c>
      <c r="B1705">
        <v>2065947</v>
      </c>
      <c r="C1705" t="str">
        <f>"SHERMAN INDEP SCHOOL DISTRICT"</f>
        <v>SHERMAN INDEP SCHOOL DISTRICT</v>
      </c>
      <c r="D1705" t="s">
        <v>11</v>
      </c>
      <c r="E1705" t="s">
        <v>1401</v>
      </c>
      <c r="F1705" t="s">
        <v>1402</v>
      </c>
      <c r="G1705">
        <v>75090</v>
      </c>
      <c r="H1705">
        <v>2010</v>
      </c>
      <c r="I1705" s="1">
        <v>41860.800000000003</v>
      </c>
      <c r="J1705" s="1">
        <v>55080</v>
      </c>
      <c r="K1705" s="1">
        <v>41860.800000000003</v>
      </c>
    </row>
    <row r="1706" spans="1:11" x14ac:dyDescent="0.35">
      <c r="A1706">
        <v>742980</v>
      </c>
      <c r="B1706">
        <v>2066189</v>
      </c>
      <c r="C1706" t="str">
        <f>"SHERMAN INDEP SCHOOL DISTRICT"</f>
        <v>SHERMAN INDEP SCHOOL DISTRICT</v>
      </c>
      <c r="D1706" t="s">
        <v>11</v>
      </c>
      <c r="E1706" t="s">
        <v>1401</v>
      </c>
      <c r="F1706" t="s">
        <v>1402</v>
      </c>
      <c r="G1706">
        <v>75090</v>
      </c>
      <c r="H1706">
        <v>2010</v>
      </c>
      <c r="I1706" s="1">
        <v>95066.880000000005</v>
      </c>
      <c r="J1706" s="1">
        <v>125088</v>
      </c>
      <c r="K1706" s="1">
        <v>34447.519999999997</v>
      </c>
    </row>
    <row r="1707" spans="1:11" x14ac:dyDescent="0.35">
      <c r="A1707">
        <v>742980</v>
      </c>
      <c r="B1707">
        <v>2065381</v>
      </c>
      <c r="C1707" t="str">
        <f>"SHERMAN INDEP SCHOOL DISTRICT"</f>
        <v>SHERMAN INDEP SCHOOL DISTRICT</v>
      </c>
      <c r="D1707" t="s">
        <v>11</v>
      </c>
      <c r="E1707" t="s">
        <v>1401</v>
      </c>
      <c r="F1707" t="s">
        <v>1402</v>
      </c>
      <c r="G1707">
        <v>75090</v>
      </c>
      <c r="H1707">
        <v>2010</v>
      </c>
      <c r="I1707" s="1">
        <v>52631.519999999997</v>
      </c>
      <c r="J1707" s="1">
        <v>69252</v>
      </c>
      <c r="K1707" s="1">
        <v>52631.519999999997</v>
      </c>
    </row>
    <row r="1708" spans="1:11" x14ac:dyDescent="0.35">
      <c r="A1708">
        <v>740105</v>
      </c>
      <c r="B1708">
        <v>2007238</v>
      </c>
      <c r="C1708" t="str">
        <f>"SHINER INDEP SCHOOL DISTRICT"</f>
        <v>SHINER INDEP SCHOOL DISTRICT</v>
      </c>
      <c r="D1708" t="s">
        <v>11</v>
      </c>
      <c r="E1708" t="s">
        <v>1403</v>
      </c>
      <c r="F1708" t="s">
        <v>1404</v>
      </c>
      <c r="G1708">
        <v>77984</v>
      </c>
      <c r="H1708">
        <v>2010</v>
      </c>
      <c r="I1708" s="1">
        <v>327.60000000000002</v>
      </c>
      <c r="J1708" s="1">
        <v>504</v>
      </c>
      <c r="K1708" s="1">
        <v>325</v>
      </c>
    </row>
    <row r="1709" spans="1:11" x14ac:dyDescent="0.35">
      <c r="A1709">
        <v>740105</v>
      </c>
      <c r="B1709">
        <v>2007252</v>
      </c>
      <c r="C1709" t="str">
        <f>"SHINER INDEP SCHOOL DISTRICT"</f>
        <v>SHINER INDEP SCHOOL DISTRICT</v>
      </c>
      <c r="D1709" t="s">
        <v>11</v>
      </c>
      <c r="E1709" t="s">
        <v>1403</v>
      </c>
      <c r="F1709" t="s">
        <v>1404</v>
      </c>
      <c r="G1709">
        <v>77984</v>
      </c>
      <c r="H1709">
        <v>2010</v>
      </c>
      <c r="I1709" s="1">
        <v>195</v>
      </c>
      <c r="J1709" s="1">
        <v>300</v>
      </c>
      <c r="K1709" s="1">
        <v>195</v>
      </c>
    </row>
    <row r="1710" spans="1:11" x14ac:dyDescent="0.35">
      <c r="A1710">
        <v>740105</v>
      </c>
      <c r="B1710">
        <v>2005495</v>
      </c>
      <c r="C1710" t="str">
        <f>"SHINER INDEP SCHOOL DISTRICT"</f>
        <v>SHINER INDEP SCHOOL DISTRICT</v>
      </c>
      <c r="D1710" t="s">
        <v>11</v>
      </c>
      <c r="E1710" t="s">
        <v>1403</v>
      </c>
      <c r="F1710" t="s">
        <v>1404</v>
      </c>
      <c r="G1710">
        <v>77984</v>
      </c>
      <c r="H1710">
        <v>2010</v>
      </c>
      <c r="I1710" s="1">
        <v>11700</v>
      </c>
      <c r="J1710" s="1">
        <v>18000</v>
      </c>
      <c r="K1710" s="1">
        <v>9886</v>
      </c>
    </row>
    <row r="1711" spans="1:11" x14ac:dyDescent="0.35">
      <c r="A1711">
        <v>733600</v>
      </c>
      <c r="B1711">
        <v>1983591</v>
      </c>
      <c r="C1711" t="str">
        <f>"SIERRA BLANCA INDEP SCH DIST"</f>
        <v>SIERRA BLANCA INDEP SCH DIST</v>
      </c>
      <c r="D1711" t="s">
        <v>11</v>
      </c>
      <c r="E1711" t="s">
        <v>1405</v>
      </c>
      <c r="F1711" t="s">
        <v>1406</v>
      </c>
      <c r="G1711">
        <v>79851</v>
      </c>
      <c r="H1711">
        <v>2010</v>
      </c>
      <c r="I1711" s="1">
        <v>10784.64</v>
      </c>
      <c r="J1711" s="1">
        <v>13480.8</v>
      </c>
      <c r="K1711" s="1">
        <v>10784.64</v>
      </c>
    </row>
    <row r="1712" spans="1:11" x14ac:dyDescent="0.35">
      <c r="A1712">
        <v>755492</v>
      </c>
      <c r="B1712">
        <v>2041986</v>
      </c>
      <c r="C1712" t="str">
        <f>"SILSBEE INDEP SCHOOL DISTRICT"</f>
        <v>SILSBEE INDEP SCHOOL DISTRICT</v>
      </c>
      <c r="D1712" t="s">
        <v>11</v>
      </c>
      <c r="E1712" t="s">
        <v>1407</v>
      </c>
      <c r="F1712" t="s">
        <v>1408</v>
      </c>
      <c r="G1712">
        <v>77656</v>
      </c>
      <c r="H1712">
        <v>2010</v>
      </c>
      <c r="I1712" s="1">
        <v>5661</v>
      </c>
      <c r="J1712" s="1">
        <v>7650</v>
      </c>
    </row>
    <row r="1713" spans="1:11" x14ac:dyDescent="0.35">
      <c r="A1713">
        <v>755492</v>
      </c>
      <c r="B1713">
        <v>2041914</v>
      </c>
      <c r="C1713" t="str">
        <f>"SILSBEE INDEP SCHOOL DISTRICT"</f>
        <v>SILSBEE INDEP SCHOOL DISTRICT</v>
      </c>
      <c r="D1713" t="s">
        <v>11</v>
      </c>
      <c r="E1713" t="s">
        <v>1407</v>
      </c>
      <c r="F1713" t="s">
        <v>1408</v>
      </c>
      <c r="G1713">
        <v>77656</v>
      </c>
      <c r="H1713">
        <v>2010</v>
      </c>
      <c r="I1713" s="1">
        <v>29970</v>
      </c>
      <c r="J1713" s="1">
        <v>40500</v>
      </c>
      <c r="K1713" s="1">
        <v>29970</v>
      </c>
    </row>
    <row r="1714" spans="1:11" x14ac:dyDescent="0.35">
      <c r="A1714">
        <v>732256</v>
      </c>
      <c r="B1714">
        <v>1980228</v>
      </c>
      <c r="C1714" t="str">
        <f>"SILVERTON INDEP SCHOOL DIST"</f>
        <v>SILVERTON INDEP SCHOOL DIST</v>
      </c>
      <c r="D1714" t="s">
        <v>11</v>
      </c>
      <c r="E1714" t="s">
        <v>1409</v>
      </c>
      <c r="F1714" t="s">
        <v>1410</v>
      </c>
      <c r="G1714">
        <v>79257</v>
      </c>
      <c r="H1714">
        <v>2010</v>
      </c>
      <c r="I1714" s="1">
        <v>2590</v>
      </c>
      <c r="J1714" s="1">
        <v>3700</v>
      </c>
      <c r="K1714" s="1">
        <v>2520</v>
      </c>
    </row>
    <row r="1715" spans="1:11" x14ac:dyDescent="0.35">
      <c r="A1715">
        <v>732256</v>
      </c>
      <c r="B1715">
        <v>1980239</v>
      </c>
      <c r="C1715" t="str">
        <f>"SILVERTON INDEP SCHOOL DIST"</f>
        <v>SILVERTON INDEP SCHOOL DIST</v>
      </c>
      <c r="D1715" t="s">
        <v>11</v>
      </c>
      <c r="E1715" t="s">
        <v>1409</v>
      </c>
      <c r="F1715" t="s">
        <v>1410</v>
      </c>
      <c r="G1715">
        <v>79257</v>
      </c>
      <c r="H1715">
        <v>2010</v>
      </c>
      <c r="I1715" s="1">
        <v>0</v>
      </c>
      <c r="J1715" s="1">
        <v>0</v>
      </c>
    </row>
    <row r="1716" spans="1:11" x14ac:dyDescent="0.35">
      <c r="A1716">
        <v>732256</v>
      </c>
      <c r="B1716">
        <v>1980221</v>
      </c>
      <c r="C1716" t="str">
        <f>"SILVERTON INDEP SCHOOL DIST"</f>
        <v>SILVERTON INDEP SCHOOL DIST</v>
      </c>
      <c r="D1716" t="s">
        <v>11</v>
      </c>
      <c r="E1716" t="s">
        <v>1409</v>
      </c>
      <c r="F1716" t="s">
        <v>1410</v>
      </c>
      <c r="G1716">
        <v>79257</v>
      </c>
      <c r="H1716">
        <v>2010</v>
      </c>
      <c r="I1716" s="1">
        <v>884.79</v>
      </c>
      <c r="J1716" s="1">
        <v>1263.99</v>
      </c>
    </row>
    <row r="1717" spans="1:11" x14ac:dyDescent="0.35">
      <c r="A1717">
        <v>705223</v>
      </c>
      <c r="B1717">
        <v>1937664</v>
      </c>
      <c r="C1717" t="str">
        <f>"SIMMS INDEP SCHOOL DISTRICT"</f>
        <v>SIMMS INDEP SCHOOL DISTRICT</v>
      </c>
      <c r="D1717" t="s">
        <v>11</v>
      </c>
      <c r="E1717" t="s">
        <v>1411</v>
      </c>
      <c r="F1717" t="s">
        <v>1412</v>
      </c>
      <c r="G1717">
        <v>75574</v>
      </c>
      <c r="H1717">
        <v>2010</v>
      </c>
      <c r="I1717" s="1">
        <v>347.8</v>
      </c>
      <c r="J1717" s="1">
        <v>470</v>
      </c>
      <c r="K1717" s="1">
        <v>347.8</v>
      </c>
    </row>
    <row r="1718" spans="1:11" x14ac:dyDescent="0.35">
      <c r="A1718">
        <v>705223</v>
      </c>
      <c r="B1718">
        <v>1937665</v>
      </c>
      <c r="C1718" t="str">
        <f>"SIMMS INDEP SCHOOL DISTRICT"</f>
        <v>SIMMS INDEP SCHOOL DISTRICT</v>
      </c>
      <c r="D1718" t="s">
        <v>11</v>
      </c>
      <c r="E1718" t="s">
        <v>1411</v>
      </c>
      <c r="F1718" t="s">
        <v>1412</v>
      </c>
      <c r="G1718">
        <v>75574</v>
      </c>
      <c r="H1718">
        <v>2010</v>
      </c>
      <c r="I1718" s="1">
        <v>572.76</v>
      </c>
      <c r="J1718" s="1">
        <v>774</v>
      </c>
      <c r="K1718" s="1">
        <v>572.76</v>
      </c>
    </row>
    <row r="1719" spans="1:11" x14ac:dyDescent="0.35">
      <c r="A1719">
        <v>705223</v>
      </c>
      <c r="B1719">
        <v>1937663</v>
      </c>
      <c r="C1719" t="str">
        <f>"SIMMS INDEP SCHOOL DISTRICT"</f>
        <v>SIMMS INDEP SCHOOL DISTRICT</v>
      </c>
      <c r="D1719" t="s">
        <v>11</v>
      </c>
      <c r="E1719" t="s">
        <v>1411</v>
      </c>
      <c r="F1719" t="s">
        <v>1412</v>
      </c>
      <c r="G1719">
        <v>75574</v>
      </c>
      <c r="H1719">
        <v>2010</v>
      </c>
      <c r="I1719" s="1">
        <v>2898.99</v>
      </c>
      <c r="J1719" s="1">
        <v>3917.55</v>
      </c>
      <c r="K1719" s="1">
        <v>2898.99</v>
      </c>
    </row>
    <row r="1720" spans="1:11" x14ac:dyDescent="0.35">
      <c r="A1720">
        <v>746965</v>
      </c>
      <c r="B1720">
        <v>2017788</v>
      </c>
      <c r="C1720" t="str">
        <f>"SIVELLS BEND INDEP SCHOOL DIST"</f>
        <v>SIVELLS BEND INDEP SCHOOL DIST</v>
      </c>
      <c r="D1720" t="s">
        <v>11</v>
      </c>
      <c r="E1720" t="s">
        <v>1413</v>
      </c>
      <c r="F1720" t="s">
        <v>238</v>
      </c>
      <c r="G1720">
        <v>76240</v>
      </c>
      <c r="H1720">
        <v>2010</v>
      </c>
      <c r="I1720" s="1">
        <v>4357.4799999999996</v>
      </c>
      <c r="J1720" s="1">
        <v>5446.85</v>
      </c>
      <c r="K1720" s="1">
        <v>4357.08</v>
      </c>
    </row>
    <row r="1721" spans="1:11" x14ac:dyDescent="0.35">
      <c r="A1721">
        <v>746965</v>
      </c>
      <c r="B1721">
        <v>2016692</v>
      </c>
      <c r="C1721" t="str">
        <f>"SIVELLS BEND INDEP SCHOOL DIST"</f>
        <v>SIVELLS BEND INDEP SCHOOL DIST</v>
      </c>
      <c r="D1721" t="s">
        <v>11</v>
      </c>
      <c r="E1721" t="s">
        <v>1413</v>
      </c>
      <c r="F1721" t="s">
        <v>238</v>
      </c>
      <c r="G1721">
        <v>76240</v>
      </c>
      <c r="H1721">
        <v>2010</v>
      </c>
      <c r="I1721" s="1">
        <v>623.9</v>
      </c>
      <c r="J1721" s="1">
        <v>779.88</v>
      </c>
      <c r="K1721" s="1">
        <v>610.4</v>
      </c>
    </row>
    <row r="1722" spans="1:11" x14ac:dyDescent="0.35">
      <c r="A1722">
        <v>745559</v>
      </c>
      <c r="B1722">
        <v>2026333</v>
      </c>
      <c r="C1722" t="str">
        <f>"SKIDMORE-TYNAN SCHOOL DISTRICT"</f>
        <v>SKIDMORE-TYNAN SCHOOL DISTRICT</v>
      </c>
      <c r="D1722" t="s">
        <v>11</v>
      </c>
      <c r="E1722" t="s">
        <v>1414</v>
      </c>
      <c r="F1722" t="s">
        <v>1415</v>
      </c>
      <c r="G1722">
        <v>78389</v>
      </c>
      <c r="H1722">
        <v>2010</v>
      </c>
      <c r="I1722" s="1">
        <v>16778.78</v>
      </c>
      <c r="J1722" s="1">
        <v>20973.48</v>
      </c>
      <c r="K1722" s="1">
        <v>16778.78</v>
      </c>
    </row>
    <row r="1723" spans="1:11" x14ac:dyDescent="0.35">
      <c r="A1723">
        <v>742463</v>
      </c>
      <c r="B1723">
        <v>2007322</v>
      </c>
      <c r="C1723" t="str">
        <f>"SLATON INDEP SCHOOL DISTRICT"</f>
        <v>SLATON INDEP SCHOOL DISTRICT</v>
      </c>
      <c r="D1723" t="s">
        <v>11</v>
      </c>
      <c r="E1723" t="s">
        <v>1416</v>
      </c>
      <c r="F1723" t="s">
        <v>1417</v>
      </c>
      <c r="G1723">
        <v>79364</v>
      </c>
      <c r="H1723">
        <v>2010</v>
      </c>
      <c r="I1723" s="1">
        <v>6600</v>
      </c>
      <c r="J1723" s="1">
        <v>7500</v>
      </c>
      <c r="K1723" s="1">
        <v>6336</v>
      </c>
    </row>
    <row r="1724" spans="1:11" x14ac:dyDescent="0.35">
      <c r="A1724">
        <v>742463</v>
      </c>
      <c r="B1724">
        <v>2007290</v>
      </c>
      <c r="C1724" t="str">
        <f>"SLATON INDEP SCHOOL DISTRICT"</f>
        <v>SLATON INDEP SCHOOL DISTRICT</v>
      </c>
      <c r="D1724" t="s">
        <v>11</v>
      </c>
      <c r="E1724" t="s">
        <v>1416</v>
      </c>
      <c r="F1724" t="s">
        <v>1417</v>
      </c>
      <c r="G1724">
        <v>79364</v>
      </c>
      <c r="H1724">
        <v>2010</v>
      </c>
      <c r="I1724" s="1">
        <v>6985.02</v>
      </c>
      <c r="J1724" s="1">
        <v>7937.52</v>
      </c>
      <c r="K1724" s="1">
        <v>5660.64</v>
      </c>
    </row>
    <row r="1725" spans="1:11" x14ac:dyDescent="0.35">
      <c r="A1725">
        <v>742463</v>
      </c>
      <c r="B1725">
        <v>2007696</v>
      </c>
      <c r="C1725" t="str">
        <f>"SLATON INDEP SCHOOL DISTRICT"</f>
        <v>SLATON INDEP SCHOOL DISTRICT</v>
      </c>
      <c r="D1725" t="s">
        <v>11</v>
      </c>
      <c r="E1725" t="s">
        <v>1416</v>
      </c>
      <c r="F1725" t="s">
        <v>1417</v>
      </c>
      <c r="G1725">
        <v>79364</v>
      </c>
      <c r="H1725">
        <v>2010</v>
      </c>
      <c r="I1725" s="1">
        <v>2919.31</v>
      </c>
      <c r="J1725" s="1">
        <v>3317.4</v>
      </c>
      <c r="K1725" s="1">
        <v>2919.31</v>
      </c>
    </row>
    <row r="1726" spans="1:11" x14ac:dyDescent="0.35">
      <c r="A1726">
        <v>766583</v>
      </c>
      <c r="B1726">
        <v>2074075</v>
      </c>
      <c r="C1726" t="str">
        <f t="shared" ref="C1726:C1731" si="24">"SLIDELL INDEP SCHOOL DISTRICT"</f>
        <v>SLIDELL INDEP SCHOOL DISTRICT</v>
      </c>
      <c r="D1726" t="s">
        <v>11</v>
      </c>
      <c r="E1726" t="s">
        <v>1418</v>
      </c>
      <c r="F1726" t="s">
        <v>1419</v>
      </c>
      <c r="G1726">
        <v>76267</v>
      </c>
      <c r="H1726">
        <v>2010</v>
      </c>
      <c r="I1726" s="1">
        <v>1499.14</v>
      </c>
      <c r="J1726" s="1">
        <v>1998.85</v>
      </c>
      <c r="K1726" s="1">
        <v>1499.14</v>
      </c>
    </row>
    <row r="1727" spans="1:11" x14ac:dyDescent="0.35">
      <c r="A1727">
        <v>766583</v>
      </c>
      <c r="B1727">
        <v>2074380</v>
      </c>
      <c r="C1727" t="str">
        <f t="shared" si="24"/>
        <v>SLIDELL INDEP SCHOOL DISTRICT</v>
      </c>
      <c r="D1727" t="s">
        <v>11</v>
      </c>
      <c r="E1727" t="s">
        <v>1418</v>
      </c>
      <c r="F1727" t="s">
        <v>1419</v>
      </c>
      <c r="G1727">
        <v>76267</v>
      </c>
      <c r="H1727">
        <v>2010</v>
      </c>
      <c r="I1727" s="1">
        <v>300</v>
      </c>
      <c r="J1727" s="1">
        <v>400</v>
      </c>
    </row>
    <row r="1728" spans="1:11" x14ac:dyDescent="0.35">
      <c r="A1728">
        <v>766583</v>
      </c>
      <c r="B1728">
        <v>2074880</v>
      </c>
      <c r="C1728" t="str">
        <f t="shared" si="24"/>
        <v>SLIDELL INDEP SCHOOL DISTRICT</v>
      </c>
      <c r="D1728" t="s">
        <v>11</v>
      </c>
      <c r="E1728" t="s">
        <v>1418</v>
      </c>
      <c r="F1728" t="s">
        <v>1419</v>
      </c>
      <c r="G1728">
        <v>76267</v>
      </c>
      <c r="H1728">
        <v>2010</v>
      </c>
      <c r="I1728" s="1">
        <v>983.18</v>
      </c>
      <c r="J1728" s="1">
        <v>1310.9</v>
      </c>
      <c r="K1728" s="1">
        <v>983.18</v>
      </c>
    </row>
    <row r="1729" spans="1:11" x14ac:dyDescent="0.35">
      <c r="A1729">
        <v>766583</v>
      </c>
      <c r="B1729">
        <v>2074961</v>
      </c>
      <c r="C1729" t="str">
        <f t="shared" si="24"/>
        <v>SLIDELL INDEP SCHOOL DISTRICT</v>
      </c>
      <c r="D1729" t="s">
        <v>11</v>
      </c>
      <c r="E1729" t="s">
        <v>1418</v>
      </c>
      <c r="F1729" t="s">
        <v>1419</v>
      </c>
      <c r="G1729">
        <v>76267</v>
      </c>
      <c r="H1729">
        <v>2010</v>
      </c>
      <c r="I1729" s="1">
        <v>3488.4</v>
      </c>
      <c r="J1729" s="1">
        <v>4651.2</v>
      </c>
      <c r="K1729" s="1">
        <v>3310.97</v>
      </c>
    </row>
    <row r="1730" spans="1:11" x14ac:dyDescent="0.35">
      <c r="A1730">
        <v>766583</v>
      </c>
      <c r="B1730">
        <v>2074311</v>
      </c>
      <c r="C1730" t="str">
        <f t="shared" si="24"/>
        <v>SLIDELL INDEP SCHOOL DISTRICT</v>
      </c>
      <c r="D1730" t="s">
        <v>11</v>
      </c>
      <c r="E1730" t="s">
        <v>1418</v>
      </c>
      <c r="F1730" t="s">
        <v>1419</v>
      </c>
      <c r="G1730">
        <v>76267</v>
      </c>
      <c r="H1730">
        <v>2010</v>
      </c>
      <c r="I1730" s="1">
        <v>900</v>
      </c>
      <c r="J1730" s="1">
        <v>1200</v>
      </c>
      <c r="K1730" s="1">
        <v>900</v>
      </c>
    </row>
    <row r="1731" spans="1:11" x14ac:dyDescent="0.35">
      <c r="A1731">
        <v>766583</v>
      </c>
      <c r="B1731">
        <v>2074040</v>
      </c>
      <c r="C1731" t="str">
        <f t="shared" si="24"/>
        <v>SLIDELL INDEP SCHOOL DISTRICT</v>
      </c>
      <c r="D1731" t="s">
        <v>11</v>
      </c>
      <c r="E1731" t="s">
        <v>1418</v>
      </c>
      <c r="F1731" t="s">
        <v>1419</v>
      </c>
      <c r="G1731">
        <v>76267</v>
      </c>
      <c r="H1731">
        <v>2010</v>
      </c>
      <c r="I1731" s="1">
        <v>1620</v>
      </c>
      <c r="J1731" s="1">
        <v>2160</v>
      </c>
      <c r="K1731" s="1">
        <v>1620</v>
      </c>
    </row>
    <row r="1732" spans="1:11" x14ac:dyDescent="0.35">
      <c r="A1732">
        <v>753200</v>
      </c>
      <c r="B1732">
        <v>2035392</v>
      </c>
      <c r="C1732" t="str">
        <f>"SLOCUM INDEP SCHOOL DISTRICT"</f>
        <v>SLOCUM INDEP SCHOOL DISTRICT</v>
      </c>
      <c r="D1732" t="s">
        <v>11</v>
      </c>
      <c r="E1732" t="s">
        <v>1420</v>
      </c>
      <c r="F1732" t="s">
        <v>503</v>
      </c>
      <c r="G1732">
        <v>75839</v>
      </c>
      <c r="H1732">
        <v>2010</v>
      </c>
      <c r="I1732" s="1">
        <v>2475</v>
      </c>
      <c r="J1732" s="1">
        <v>3300</v>
      </c>
      <c r="K1732" s="1">
        <v>2475</v>
      </c>
    </row>
    <row r="1733" spans="1:11" x14ac:dyDescent="0.35">
      <c r="A1733">
        <v>764005</v>
      </c>
      <c r="B1733">
        <v>2064733</v>
      </c>
      <c r="C1733" t="str">
        <f>"SMITHVILLE INDEP SCHOOL DIST"</f>
        <v>SMITHVILLE INDEP SCHOOL DIST</v>
      </c>
      <c r="D1733" t="s">
        <v>11</v>
      </c>
      <c r="E1733" t="s">
        <v>1421</v>
      </c>
      <c r="F1733" t="s">
        <v>1422</v>
      </c>
      <c r="G1733">
        <v>78957</v>
      </c>
      <c r="H1733">
        <v>2010</v>
      </c>
      <c r="I1733" s="1">
        <v>18426</v>
      </c>
      <c r="J1733" s="1">
        <v>24900</v>
      </c>
      <c r="K1733" s="1">
        <v>18426</v>
      </c>
    </row>
    <row r="1734" spans="1:11" x14ac:dyDescent="0.35">
      <c r="A1734">
        <v>764005</v>
      </c>
      <c r="B1734">
        <v>2064656</v>
      </c>
      <c r="C1734" t="str">
        <f>"SMITHVILLE INDEP SCHOOL DIST"</f>
        <v>SMITHVILLE INDEP SCHOOL DIST</v>
      </c>
      <c r="D1734" t="s">
        <v>11</v>
      </c>
      <c r="E1734" t="s">
        <v>1421</v>
      </c>
      <c r="F1734" t="s">
        <v>1422</v>
      </c>
      <c r="G1734">
        <v>78957</v>
      </c>
      <c r="H1734">
        <v>2010</v>
      </c>
      <c r="I1734" s="1">
        <v>4886.75</v>
      </c>
      <c r="J1734" s="1">
        <v>6603.72</v>
      </c>
      <c r="K1734" s="1">
        <v>4886.75</v>
      </c>
    </row>
    <row r="1735" spans="1:11" x14ac:dyDescent="0.35">
      <c r="A1735">
        <v>745898</v>
      </c>
      <c r="B1735">
        <v>2013249</v>
      </c>
      <c r="C1735" t="str">
        <f>"SMYER INDEP SCHOOL DISTRICT"</f>
        <v>SMYER INDEP SCHOOL DISTRICT</v>
      </c>
      <c r="D1735" t="s">
        <v>11</v>
      </c>
      <c r="E1735" t="s">
        <v>1423</v>
      </c>
      <c r="F1735" t="s">
        <v>1424</v>
      </c>
      <c r="G1735">
        <v>79367</v>
      </c>
      <c r="H1735">
        <v>2010</v>
      </c>
      <c r="I1735" s="1">
        <v>1596</v>
      </c>
      <c r="J1735" s="1">
        <v>2100</v>
      </c>
      <c r="K1735" s="1">
        <v>1388.52</v>
      </c>
    </row>
    <row r="1736" spans="1:11" x14ac:dyDescent="0.35">
      <c r="A1736">
        <v>745898</v>
      </c>
      <c r="B1736">
        <v>2013308</v>
      </c>
      <c r="C1736" t="str">
        <f>"SMYER INDEP SCHOOL DISTRICT"</f>
        <v>SMYER INDEP SCHOOL DISTRICT</v>
      </c>
      <c r="D1736" t="s">
        <v>11</v>
      </c>
      <c r="E1736" t="s">
        <v>1423</v>
      </c>
      <c r="F1736" t="s">
        <v>1424</v>
      </c>
      <c r="G1736">
        <v>79367</v>
      </c>
      <c r="H1736">
        <v>2010</v>
      </c>
      <c r="I1736" s="1">
        <v>10944</v>
      </c>
      <c r="J1736" s="1">
        <v>14400</v>
      </c>
      <c r="K1736" s="1">
        <v>4509.84</v>
      </c>
    </row>
    <row r="1737" spans="1:11" x14ac:dyDescent="0.35">
      <c r="A1737">
        <v>745898</v>
      </c>
      <c r="B1737">
        <v>2013272</v>
      </c>
      <c r="C1737" t="str">
        <f>"SMYER INDEP SCHOOL DISTRICT"</f>
        <v>SMYER INDEP SCHOOL DISTRICT</v>
      </c>
      <c r="D1737" t="s">
        <v>11</v>
      </c>
      <c r="E1737" t="s">
        <v>1423</v>
      </c>
      <c r="F1737" t="s">
        <v>1424</v>
      </c>
      <c r="G1737">
        <v>79367</v>
      </c>
      <c r="H1737">
        <v>2010</v>
      </c>
      <c r="I1737" s="1">
        <v>5472</v>
      </c>
      <c r="J1737" s="1">
        <v>7200</v>
      </c>
      <c r="K1737" s="1">
        <v>5244</v>
      </c>
    </row>
    <row r="1738" spans="1:11" x14ac:dyDescent="0.35">
      <c r="A1738">
        <v>728723</v>
      </c>
      <c r="B1738">
        <v>2067688</v>
      </c>
      <c r="C1738" t="str">
        <f>"SNOOK INDEP SCHOOL DISTRICT"</f>
        <v>SNOOK INDEP SCHOOL DISTRICT</v>
      </c>
      <c r="D1738" t="s">
        <v>11</v>
      </c>
      <c r="E1738" t="s">
        <v>1425</v>
      </c>
      <c r="F1738" t="s">
        <v>1426</v>
      </c>
      <c r="G1738">
        <v>77878</v>
      </c>
      <c r="H1738">
        <v>2010</v>
      </c>
      <c r="I1738" s="1">
        <v>473.09</v>
      </c>
      <c r="J1738" s="1">
        <v>614.4</v>
      </c>
      <c r="K1738" s="1">
        <v>473.09</v>
      </c>
    </row>
    <row r="1739" spans="1:11" x14ac:dyDescent="0.35">
      <c r="A1739">
        <v>728723</v>
      </c>
      <c r="B1739">
        <v>2067750</v>
      </c>
      <c r="C1739" t="str">
        <f>"SNOOK INDEP SCHOOL DISTRICT"</f>
        <v>SNOOK INDEP SCHOOL DISTRICT</v>
      </c>
      <c r="D1739" t="s">
        <v>11</v>
      </c>
      <c r="E1739" t="s">
        <v>1425</v>
      </c>
      <c r="F1739" t="s">
        <v>1426</v>
      </c>
      <c r="G1739">
        <v>77878</v>
      </c>
      <c r="H1739">
        <v>2010</v>
      </c>
      <c r="I1739" s="1">
        <v>6449.96</v>
      </c>
      <c r="J1739" s="1">
        <v>8376.57</v>
      </c>
      <c r="K1739" s="1">
        <v>6449.96</v>
      </c>
    </row>
    <row r="1740" spans="1:11" x14ac:dyDescent="0.35">
      <c r="A1740">
        <v>728723</v>
      </c>
      <c r="B1740">
        <v>2067878</v>
      </c>
      <c r="C1740" t="str">
        <f>"SNOOK INDEP SCHOOL DISTRICT"</f>
        <v>SNOOK INDEP SCHOOL DISTRICT</v>
      </c>
      <c r="D1740" t="s">
        <v>11</v>
      </c>
      <c r="E1740" t="s">
        <v>1425</v>
      </c>
      <c r="F1740" t="s">
        <v>1426</v>
      </c>
      <c r="G1740">
        <v>77878</v>
      </c>
      <c r="H1740">
        <v>2010</v>
      </c>
      <c r="I1740" s="1">
        <v>7207.47</v>
      </c>
      <c r="J1740" s="1">
        <v>9360.35</v>
      </c>
      <c r="K1740" s="1">
        <v>7207.47</v>
      </c>
    </row>
    <row r="1741" spans="1:11" x14ac:dyDescent="0.35">
      <c r="A1741">
        <v>728723</v>
      </c>
      <c r="B1741">
        <v>2067717</v>
      </c>
      <c r="C1741" t="str">
        <f>"SNOOK INDEP SCHOOL DISTRICT"</f>
        <v>SNOOK INDEP SCHOOL DISTRICT</v>
      </c>
      <c r="D1741" t="s">
        <v>11</v>
      </c>
      <c r="E1741" t="s">
        <v>1425</v>
      </c>
      <c r="F1741" t="s">
        <v>1426</v>
      </c>
      <c r="G1741">
        <v>77878</v>
      </c>
      <c r="H1741">
        <v>2010</v>
      </c>
      <c r="I1741" s="1">
        <v>9789.41</v>
      </c>
      <c r="J1741" s="1">
        <v>12713.52</v>
      </c>
      <c r="K1741" s="1">
        <v>9789.41</v>
      </c>
    </row>
    <row r="1742" spans="1:11" x14ac:dyDescent="0.35">
      <c r="A1742">
        <v>733000</v>
      </c>
      <c r="B1742">
        <v>2057269</v>
      </c>
      <c r="C1742" t="str">
        <f>"SOCORRO INDEP SCHOOL DISTRICT"</f>
        <v>SOCORRO INDEP SCHOOL DISTRICT</v>
      </c>
      <c r="D1742" t="s">
        <v>11</v>
      </c>
      <c r="E1742" t="s">
        <v>1427</v>
      </c>
      <c r="F1742" t="s">
        <v>220</v>
      </c>
      <c r="G1742">
        <v>79927</v>
      </c>
      <c r="H1742">
        <v>2010</v>
      </c>
      <c r="I1742" s="1">
        <v>107100</v>
      </c>
      <c r="J1742" s="1">
        <v>126000</v>
      </c>
      <c r="K1742" s="1">
        <v>106815.22</v>
      </c>
    </row>
    <row r="1743" spans="1:11" x14ac:dyDescent="0.35">
      <c r="A1743">
        <v>724772</v>
      </c>
      <c r="B1743">
        <v>1967586</v>
      </c>
      <c r="C1743" t="str">
        <f>"SOMERSET INDEP SCHOOL DISTRICT"</f>
        <v>SOMERSET INDEP SCHOOL DISTRICT</v>
      </c>
      <c r="D1743" t="s">
        <v>11</v>
      </c>
      <c r="E1743" t="s">
        <v>1428</v>
      </c>
      <c r="F1743" t="s">
        <v>1429</v>
      </c>
      <c r="G1743">
        <v>78069</v>
      </c>
      <c r="H1743">
        <v>2010</v>
      </c>
      <c r="I1743" s="1">
        <v>3617.35</v>
      </c>
      <c r="J1743" s="1">
        <v>4019.28</v>
      </c>
      <c r="K1743" s="1">
        <v>3617.35</v>
      </c>
    </row>
    <row r="1744" spans="1:11" x14ac:dyDescent="0.35">
      <c r="A1744">
        <v>724473</v>
      </c>
      <c r="B1744">
        <v>1962688</v>
      </c>
      <c r="C1744" t="str">
        <f>"SOMERSET INDEP SCHOOL DISTRICT"</f>
        <v>SOMERSET INDEP SCHOOL DISTRICT</v>
      </c>
      <c r="D1744" t="s">
        <v>11</v>
      </c>
      <c r="E1744" t="s">
        <v>1428</v>
      </c>
      <c r="F1744" t="s">
        <v>1429</v>
      </c>
      <c r="G1744">
        <v>78069</v>
      </c>
      <c r="H1744">
        <v>2010</v>
      </c>
      <c r="I1744" s="1">
        <v>1539</v>
      </c>
      <c r="J1744" s="1">
        <v>1710</v>
      </c>
      <c r="K1744" s="1">
        <v>1539</v>
      </c>
    </row>
    <row r="1745" spans="1:11" x14ac:dyDescent="0.35">
      <c r="A1745">
        <v>727395</v>
      </c>
      <c r="B1745">
        <v>1968949</v>
      </c>
      <c r="C1745" t="str">
        <f>"SOMERSET INDEP SCHOOL DISTRICT"</f>
        <v>SOMERSET INDEP SCHOOL DISTRICT</v>
      </c>
      <c r="D1745" t="s">
        <v>11</v>
      </c>
      <c r="E1745" t="s">
        <v>1428</v>
      </c>
      <c r="F1745" t="s">
        <v>1429</v>
      </c>
      <c r="G1745">
        <v>78069</v>
      </c>
      <c r="H1745">
        <v>2010</v>
      </c>
      <c r="I1745" s="1">
        <v>3596.4</v>
      </c>
      <c r="J1745" s="1">
        <v>3996</v>
      </c>
      <c r="K1745" s="1">
        <v>2461.54</v>
      </c>
    </row>
    <row r="1746" spans="1:11" x14ac:dyDescent="0.35">
      <c r="A1746">
        <v>726932</v>
      </c>
      <c r="B1746">
        <v>1967846</v>
      </c>
      <c r="C1746" t="str">
        <f>"SOMERSET INDEP SCHOOL DISTRICT"</f>
        <v>SOMERSET INDEP SCHOOL DISTRICT</v>
      </c>
      <c r="D1746" t="s">
        <v>11</v>
      </c>
      <c r="E1746" t="s">
        <v>1428</v>
      </c>
      <c r="F1746" t="s">
        <v>1429</v>
      </c>
      <c r="G1746">
        <v>78069</v>
      </c>
      <c r="H1746">
        <v>2010</v>
      </c>
      <c r="I1746" s="1">
        <v>9720</v>
      </c>
      <c r="J1746" s="1">
        <v>10800</v>
      </c>
      <c r="K1746" s="1">
        <v>9720</v>
      </c>
    </row>
    <row r="1747" spans="1:11" x14ac:dyDescent="0.35">
      <c r="A1747">
        <v>762782</v>
      </c>
      <c r="B1747">
        <v>2060886</v>
      </c>
      <c r="C1747" t="str">
        <f>"SOMERVILLE INDEP SCHOOL DIST"</f>
        <v>SOMERVILLE INDEP SCHOOL DIST</v>
      </c>
      <c r="D1747" t="s">
        <v>11</v>
      </c>
      <c r="E1747" t="s">
        <v>1430</v>
      </c>
      <c r="F1747" t="s">
        <v>1431</v>
      </c>
      <c r="G1747">
        <v>77879</v>
      </c>
      <c r="H1747">
        <v>2010</v>
      </c>
      <c r="I1747" s="1">
        <v>15966.26</v>
      </c>
      <c r="J1747" s="1">
        <v>20735.400000000001</v>
      </c>
      <c r="K1747" s="1">
        <v>12127.56</v>
      </c>
    </row>
    <row r="1748" spans="1:11" x14ac:dyDescent="0.35">
      <c r="A1748">
        <v>719644</v>
      </c>
      <c r="B1748">
        <v>2019215</v>
      </c>
      <c r="C1748" t="str">
        <f>"SOUTH SAN ANTONIO IND SCH DIST"</f>
        <v>SOUTH SAN ANTONIO IND SCH DIST</v>
      </c>
      <c r="D1748" t="s">
        <v>11</v>
      </c>
      <c r="E1748" t="s">
        <v>1432</v>
      </c>
      <c r="F1748" t="s">
        <v>25</v>
      </c>
      <c r="G1748">
        <v>78242</v>
      </c>
      <c r="H1748">
        <v>2010</v>
      </c>
      <c r="I1748" s="1">
        <v>14418</v>
      </c>
      <c r="J1748" s="1">
        <v>16200</v>
      </c>
      <c r="K1748" s="1">
        <v>11021.76</v>
      </c>
    </row>
    <row r="1749" spans="1:11" x14ac:dyDescent="0.35">
      <c r="A1749">
        <v>719644</v>
      </c>
      <c r="B1749">
        <v>2019365</v>
      </c>
      <c r="C1749" t="str">
        <f>"SOUTH SAN ANTONIO IND SCH DIST"</f>
        <v>SOUTH SAN ANTONIO IND SCH DIST</v>
      </c>
      <c r="D1749" t="s">
        <v>11</v>
      </c>
      <c r="E1749" t="s">
        <v>1432</v>
      </c>
      <c r="F1749" t="s">
        <v>25</v>
      </c>
      <c r="G1749">
        <v>78242</v>
      </c>
      <c r="H1749">
        <v>2010</v>
      </c>
      <c r="I1749" s="1">
        <v>9672.07</v>
      </c>
      <c r="J1749" s="1">
        <v>10867.5</v>
      </c>
      <c r="K1749" s="1">
        <v>6246.5</v>
      </c>
    </row>
    <row r="1750" spans="1:11" x14ac:dyDescent="0.35">
      <c r="A1750">
        <v>719644</v>
      </c>
      <c r="B1750">
        <v>2019346</v>
      </c>
      <c r="C1750" t="str">
        <f>"SOUTH SAN ANTONIO IND SCH DIST"</f>
        <v>SOUTH SAN ANTONIO IND SCH DIST</v>
      </c>
      <c r="D1750" t="s">
        <v>11</v>
      </c>
      <c r="E1750" t="s">
        <v>1432</v>
      </c>
      <c r="F1750" t="s">
        <v>25</v>
      </c>
      <c r="G1750">
        <v>78242</v>
      </c>
      <c r="H1750">
        <v>2010</v>
      </c>
      <c r="I1750" s="1">
        <v>22134.3</v>
      </c>
      <c r="J1750" s="1">
        <v>24870</v>
      </c>
      <c r="K1750" s="1">
        <v>14992.05</v>
      </c>
    </row>
    <row r="1751" spans="1:11" x14ac:dyDescent="0.35">
      <c r="A1751">
        <v>719644</v>
      </c>
      <c r="B1751">
        <v>2019118</v>
      </c>
      <c r="C1751" t="str">
        <f>"SOUTH SAN ANTONIO IND SCH DIST"</f>
        <v>SOUTH SAN ANTONIO IND SCH DIST</v>
      </c>
      <c r="D1751" t="s">
        <v>11</v>
      </c>
      <c r="E1751" t="s">
        <v>1432</v>
      </c>
      <c r="F1751" t="s">
        <v>25</v>
      </c>
      <c r="G1751">
        <v>78242</v>
      </c>
      <c r="H1751">
        <v>2010</v>
      </c>
      <c r="I1751" s="1">
        <v>534</v>
      </c>
      <c r="J1751" s="1">
        <v>600</v>
      </c>
      <c r="K1751" s="1">
        <v>504.18</v>
      </c>
    </row>
    <row r="1752" spans="1:11" x14ac:dyDescent="0.35">
      <c r="A1752">
        <v>765984</v>
      </c>
      <c r="B1752">
        <v>2070718</v>
      </c>
      <c r="C1752" t="str">
        <f>"SOUTH TEXAS INDEP SCHOOL DIST"</f>
        <v>SOUTH TEXAS INDEP SCHOOL DIST</v>
      </c>
      <c r="D1752" t="s">
        <v>11</v>
      </c>
      <c r="E1752" t="s">
        <v>1433</v>
      </c>
      <c r="F1752" t="s">
        <v>1010</v>
      </c>
      <c r="G1752">
        <v>78570</v>
      </c>
      <c r="H1752">
        <v>2010</v>
      </c>
      <c r="I1752" s="1">
        <v>4065.6</v>
      </c>
      <c r="J1752" s="1">
        <v>5280</v>
      </c>
      <c r="K1752" s="1">
        <v>0</v>
      </c>
    </row>
    <row r="1753" spans="1:11" x14ac:dyDescent="0.35">
      <c r="A1753">
        <v>763365</v>
      </c>
      <c r="B1753">
        <v>2062716</v>
      </c>
      <c r="C1753" t="str">
        <f>"SOUTH TEXAS INDEP SCHOOL DIST"</f>
        <v>SOUTH TEXAS INDEP SCHOOL DIST</v>
      </c>
      <c r="D1753" t="s">
        <v>11</v>
      </c>
      <c r="E1753" t="s">
        <v>1433</v>
      </c>
      <c r="F1753" t="s">
        <v>1010</v>
      </c>
      <c r="G1753">
        <v>78570</v>
      </c>
      <c r="H1753">
        <v>2010</v>
      </c>
      <c r="I1753" s="1">
        <v>40102.800000000003</v>
      </c>
      <c r="J1753" s="1">
        <v>52081.56</v>
      </c>
      <c r="K1753" s="1">
        <v>29411.18</v>
      </c>
    </row>
    <row r="1754" spans="1:11" x14ac:dyDescent="0.35">
      <c r="A1754">
        <v>765999</v>
      </c>
      <c r="B1754">
        <v>2070785</v>
      </c>
      <c r="C1754" t="str">
        <f>"SOUTH TEXAS INDEP SCHOOL DIST"</f>
        <v>SOUTH TEXAS INDEP SCHOOL DIST</v>
      </c>
      <c r="D1754" t="s">
        <v>11</v>
      </c>
      <c r="E1754" t="s">
        <v>1433</v>
      </c>
      <c r="F1754" t="s">
        <v>1010</v>
      </c>
      <c r="G1754">
        <v>78570</v>
      </c>
      <c r="H1754">
        <v>2010</v>
      </c>
      <c r="I1754" s="1">
        <v>10530.83</v>
      </c>
      <c r="J1754" s="1">
        <v>13676.4</v>
      </c>
      <c r="K1754" s="1">
        <v>5637.63</v>
      </c>
    </row>
    <row r="1755" spans="1:11" x14ac:dyDescent="0.35">
      <c r="A1755">
        <v>765999</v>
      </c>
      <c r="B1755">
        <v>2070797</v>
      </c>
      <c r="C1755" t="str">
        <f>"SOUTH TEXAS INDEP SCHOOL DIST"</f>
        <v>SOUTH TEXAS INDEP SCHOOL DIST</v>
      </c>
      <c r="D1755" t="s">
        <v>11</v>
      </c>
      <c r="E1755" t="s">
        <v>1433</v>
      </c>
      <c r="F1755" t="s">
        <v>1010</v>
      </c>
      <c r="G1755">
        <v>78570</v>
      </c>
      <c r="H1755">
        <v>2010</v>
      </c>
      <c r="I1755" s="1">
        <v>14041.1</v>
      </c>
      <c r="J1755" s="1">
        <v>18235.2</v>
      </c>
      <c r="K1755" s="1">
        <v>3840.52</v>
      </c>
    </row>
    <row r="1756" spans="1:11" x14ac:dyDescent="0.35">
      <c r="A1756">
        <v>745783</v>
      </c>
      <c r="B1756">
        <v>2013255</v>
      </c>
      <c r="C1756" t="str">
        <f>"SOUTHLAND ISD"</f>
        <v>SOUTHLAND ISD</v>
      </c>
      <c r="D1756" t="s">
        <v>11</v>
      </c>
      <c r="E1756" t="s">
        <v>1434</v>
      </c>
      <c r="F1756" t="s">
        <v>1417</v>
      </c>
      <c r="G1756">
        <v>79364</v>
      </c>
      <c r="H1756">
        <v>2010</v>
      </c>
      <c r="I1756" s="1">
        <v>25920</v>
      </c>
      <c r="J1756" s="1">
        <v>28800</v>
      </c>
      <c r="K1756" s="1">
        <v>14828.17</v>
      </c>
    </row>
    <row r="1757" spans="1:11" x14ac:dyDescent="0.35">
      <c r="A1757">
        <v>745783</v>
      </c>
      <c r="B1757">
        <v>2013749</v>
      </c>
      <c r="C1757" t="str">
        <f>"SOUTHLAND ISD"</f>
        <v>SOUTHLAND ISD</v>
      </c>
      <c r="D1757" t="s">
        <v>11</v>
      </c>
      <c r="E1757" t="s">
        <v>1434</v>
      </c>
      <c r="F1757" t="s">
        <v>1417</v>
      </c>
      <c r="G1757">
        <v>79364</v>
      </c>
      <c r="H1757">
        <v>2010</v>
      </c>
      <c r="I1757" s="1">
        <v>1080</v>
      </c>
      <c r="J1757" s="1">
        <v>1200</v>
      </c>
    </row>
    <row r="1758" spans="1:11" x14ac:dyDescent="0.35">
      <c r="A1758">
        <v>721662</v>
      </c>
      <c r="B1758">
        <v>2021847</v>
      </c>
      <c r="C1758" t="str">
        <f>"SOUTHSIDE INDEP SCHOOL DIST"</f>
        <v>SOUTHSIDE INDEP SCHOOL DIST</v>
      </c>
      <c r="D1758" t="s">
        <v>11</v>
      </c>
      <c r="E1758" t="s">
        <v>1435</v>
      </c>
      <c r="F1758" t="s">
        <v>25</v>
      </c>
      <c r="G1758">
        <v>78221</v>
      </c>
      <c r="H1758">
        <v>2010</v>
      </c>
      <c r="I1758" s="1">
        <v>26993.200000000001</v>
      </c>
      <c r="J1758" s="1">
        <v>29992.44</v>
      </c>
      <c r="K1758" s="1">
        <v>21931.74</v>
      </c>
    </row>
    <row r="1759" spans="1:11" x14ac:dyDescent="0.35">
      <c r="A1759">
        <v>721662</v>
      </c>
      <c r="B1759">
        <v>2021880</v>
      </c>
      <c r="C1759" t="str">
        <f>"SOUTHSIDE INDEP SCHOOL DIST"</f>
        <v>SOUTHSIDE INDEP SCHOOL DIST</v>
      </c>
      <c r="D1759" t="s">
        <v>11</v>
      </c>
      <c r="E1759" t="s">
        <v>1435</v>
      </c>
      <c r="F1759" t="s">
        <v>25</v>
      </c>
      <c r="G1759">
        <v>78221</v>
      </c>
      <c r="H1759">
        <v>2010</v>
      </c>
      <c r="I1759" s="1">
        <v>27186.21</v>
      </c>
      <c r="J1759" s="1">
        <v>30206.9</v>
      </c>
      <c r="K1759" s="1">
        <v>27186.21</v>
      </c>
    </row>
    <row r="1760" spans="1:11" x14ac:dyDescent="0.35">
      <c r="A1760">
        <v>747359</v>
      </c>
      <c r="B1760">
        <v>2025698</v>
      </c>
      <c r="C1760" t="str">
        <f>"SOUTHWEST INDEP SCHOOL DIST"</f>
        <v>SOUTHWEST INDEP SCHOOL DIST</v>
      </c>
      <c r="D1760" t="s">
        <v>11</v>
      </c>
      <c r="E1760" t="s">
        <v>1436</v>
      </c>
      <c r="F1760" t="s">
        <v>25</v>
      </c>
      <c r="G1760">
        <v>78252</v>
      </c>
      <c r="H1760">
        <v>2010</v>
      </c>
      <c r="I1760" s="1">
        <v>13606.32</v>
      </c>
      <c r="J1760" s="1">
        <v>15288</v>
      </c>
      <c r="K1760" s="1">
        <v>13606.32</v>
      </c>
    </row>
    <row r="1761" spans="1:11" x14ac:dyDescent="0.35">
      <c r="A1761">
        <v>768309</v>
      </c>
      <c r="B1761">
        <v>2078369</v>
      </c>
      <c r="C1761" t="str">
        <f>"SOUTHWEST PREPARTORY SCHOOL DIST"</f>
        <v>SOUTHWEST PREPARTORY SCHOOL DIST</v>
      </c>
      <c r="D1761" t="s">
        <v>11</v>
      </c>
      <c r="E1761" t="s">
        <v>1437</v>
      </c>
      <c r="F1761" t="s">
        <v>25</v>
      </c>
      <c r="G1761">
        <v>78209</v>
      </c>
      <c r="H1761">
        <v>2010</v>
      </c>
      <c r="I1761" s="1">
        <v>0</v>
      </c>
      <c r="J1761" s="1">
        <v>0</v>
      </c>
    </row>
    <row r="1762" spans="1:11" x14ac:dyDescent="0.35">
      <c r="A1762">
        <v>768549</v>
      </c>
      <c r="B1762">
        <v>2078771</v>
      </c>
      <c r="C1762" t="str">
        <f>"SOUTHWEST PREPARTORY SCHOOL DIST"</f>
        <v>SOUTHWEST PREPARTORY SCHOOL DIST</v>
      </c>
      <c r="D1762" t="s">
        <v>11</v>
      </c>
      <c r="E1762" t="s">
        <v>1437</v>
      </c>
      <c r="F1762" t="s">
        <v>25</v>
      </c>
      <c r="G1762">
        <v>78209</v>
      </c>
      <c r="H1762">
        <v>2010</v>
      </c>
      <c r="I1762" s="1">
        <v>3220.18</v>
      </c>
      <c r="J1762" s="1">
        <v>3618.18</v>
      </c>
    </row>
    <row r="1763" spans="1:11" x14ac:dyDescent="0.35">
      <c r="A1763">
        <v>764472</v>
      </c>
      <c r="B1763">
        <v>2065600</v>
      </c>
      <c r="C1763" t="str">
        <f>"SPEARMAN INDEP SCHOOL DISTRICT"</f>
        <v>SPEARMAN INDEP SCHOOL DISTRICT</v>
      </c>
      <c r="D1763" t="s">
        <v>11</v>
      </c>
      <c r="E1763" t="s">
        <v>1438</v>
      </c>
      <c r="F1763" t="s">
        <v>1439</v>
      </c>
      <c r="G1763">
        <v>79081</v>
      </c>
      <c r="H1763">
        <v>2010</v>
      </c>
      <c r="I1763" s="1">
        <v>22245.3</v>
      </c>
      <c r="J1763" s="1">
        <v>28890</v>
      </c>
      <c r="K1763" s="1">
        <v>20352.38</v>
      </c>
    </row>
    <row r="1764" spans="1:11" x14ac:dyDescent="0.35">
      <c r="A1764">
        <v>764472</v>
      </c>
      <c r="B1764">
        <v>2065613</v>
      </c>
      <c r="C1764" t="str">
        <f>"SPEARMAN INDEP SCHOOL DISTRICT"</f>
        <v>SPEARMAN INDEP SCHOOL DISTRICT</v>
      </c>
      <c r="D1764" t="s">
        <v>11</v>
      </c>
      <c r="E1764" t="s">
        <v>1438</v>
      </c>
      <c r="F1764" t="s">
        <v>1439</v>
      </c>
      <c r="G1764">
        <v>79081</v>
      </c>
      <c r="H1764">
        <v>2010</v>
      </c>
      <c r="I1764" s="1">
        <v>2849</v>
      </c>
      <c r="J1764" s="1">
        <v>3700</v>
      </c>
      <c r="K1764" s="1">
        <v>2849</v>
      </c>
    </row>
    <row r="1765" spans="1:11" x14ac:dyDescent="0.35">
      <c r="A1765">
        <v>746563</v>
      </c>
      <c r="B1765">
        <v>2015493</v>
      </c>
      <c r="C1765" t="str">
        <f>"SPLENDORA INDEP SCH DISTRICT"</f>
        <v>SPLENDORA INDEP SCH DISTRICT</v>
      </c>
      <c r="D1765" t="s">
        <v>11</v>
      </c>
      <c r="E1765" t="s">
        <v>1440</v>
      </c>
      <c r="F1765" t="s">
        <v>1441</v>
      </c>
      <c r="G1765">
        <v>77372</v>
      </c>
      <c r="H1765">
        <v>2010</v>
      </c>
      <c r="I1765" s="1">
        <v>31920</v>
      </c>
      <c r="J1765" s="1">
        <v>42000</v>
      </c>
      <c r="K1765" s="1">
        <v>31920</v>
      </c>
    </row>
    <row r="1766" spans="1:11" x14ac:dyDescent="0.35">
      <c r="A1766">
        <v>746563</v>
      </c>
      <c r="B1766">
        <v>2015509</v>
      </c>
      <c r="C1766" t="str">
        <f>"SPLENDORA INDEP SCH DISTRICT"</f>
        <v>SPLENDORA INDEP SCH DISTRICT</v>
      </c>
      <c r="D1766" t="s">
        <v>11</v>
      </c>
      <c r="E1766" t="s">
        <v>1440</v>
      </c>
      <c r="F1766" t="s">
        <v>1441</v>
      </c>
      <c r="G1766">
        <v>77372</v>
      </c>
      <c r="H1766">
        <v>2010</v>
      </c>
      <c r="I1766" s="1">
        <v>8530.2099999999991</v>
      </c>
      <c r="J1766" s="1">
        <v>11223.96</v>
      </c>
      <c r="K1766" s="1">
        <v>0</v>
      </c>
    </row>
    <row r="1767" spans="1:11" x14ac:dyDescent="0.35">
      <c r="A1767">
        <v>746563</v>
      </c>
      <c r="B1767">
        <v>2015519</v>
      </c>
      <c r="C1767" t="str">
        <f>"SPLENDORA INDEP SCH DISTRICT"</f>
        <v>SPLENDORA INDEP SCH DISTRICT</v>
      </c>
      <c r="D1767" t="s">
        <v>11</v>
      </c>
      <c r="E1767" t="s">
        <v>1440</v>
      </c>
      <c r="F1767" t="s">
        <v>1441</v>
      </c>
      <c r="G1767">
        <v>77372</v>
      </c>
      <c r="H1767">
        <v>2010</v>
      </c>
      <c r="I1767" s="1">
        <v>3135</v>
      </c>
      <c r="J1767" s="1">
        <v>4125</v>
      </c>
      <c r="K1767" s="1">
        <v>3135</v>
      </c>
    </row>
    <row r="1768" spans="1:11" x14ac:dyDescent="0.35">
      <c r="A1768">
        <v>746563</v>
      </c>
      <c r="B1768">
        <v>2015505</v>
      </c>
      <c r="C1768" t="str">
        <f>"SPLENDORA INDEP SCH DISTRICT"</f>
        <v>SPLENDORA INDEP SCH DISTRICT</v>
      </c>
      <c r="D1768" t="s">
        <v>11</v>
      </c>
      <c r="E1768" t="s">
        <v>1440</v>
      </c>
      <c r="F1768" t="s">
        <v>1441</v>
      </c>
      <c r="G1768">
        <v>77372</v>
      </c>
      <c r="H1768">
        <v>2010</v>
      </c>
      <c r="I1768" s="1">
        <v>2542.1999999999998</v>
      </c>
      <c r="J1768" s="1">
        <v>3345</v>
      </c>
      <c r="K1768" s="1">
        <v>2542.1999999999998</v>
      </c>
    </row>
    <row r="1769" spans="1:11" x14ac:dyDescent="0.35">
      <c r="A1769">
        <v>746563</v>
      </c>
      <c r="B1769">
        <v>2015528</v>
      </c>
      <c r="C1769" t="str">
        <f>"SPLENDORA INDEP SCH DISTRICT"</f>
        <v>SPLENDORA INDEP SCH DISTRICT</v>
      </c>
      <c r="D1769" t="s">
        <v>11</v>
      </c>
      <c r="E1769" t="s">
        <v>1440</v>
      </c>
      <c r="F1769" t="s">
        <v>1441</v>
      </c>
      <c r="G1769">
        <v>77372</v>
      </c>
      <c r="H1769">
        <v>2010</v>
      </c>
      <c r="I1769" s="1">
        <v>7704.12</v>
      </c>
      <c r="J1769" s="1">
        <v>10137</v>
      </c>
      <c r="K1769" s="1">
        <v>7113.87</v>
      </c>
    </row>
    <row r="1770" spans="1:11" x14ac:dyDescent="0.35">
      <c r="A1770">
        <v>747504</v>
      </c>
      <c r="B1770">
        <v>2018540</v>
      </c>
      <c r="C1770" t="str">
        <f>"SPRING BRANCH ISD"</f>
        <v>SPRING BRANCH ISD</v>
      </c>
      <c r="D1770" t="s">
        <v>11</v>
      </c>
      <c r="E1770" t="s">
        <v>1442</v>
      </c>
      <c r="F1770" t="s">
        <v>29</v>
      </c>
      <c r="G1770">
        <v>77024</v>
      </c>
      <c r="H1770">
        <v>2010</v>
      </c>
      <c r="I1770" s="1">
        <v>36781.75</v>
      </c>
      <c r="J1770" s="1">
        <v>52545.36</v>
      </c>
    </row>
    <row r="1771" spans="1:11" x14ac:dyDescent="0.35">
      <c r="A1771">
        <v>747504</v>
      </c>
      <c r="B1771">
        <v>2018529</v>
      </c>
      <c r="C1771" t="str">
        <f>"SPRING BRANCH ISD"</f>
        <v>SPRING BRANCH ISD</v>
      </c>
      <c r="D1771" t="s">
        <v>11</v>
      </c>
      <c r="E1771" t="s">
        <v>1442</v>
      </c>
      <c r="F1771" t="s">
        <v>29</v>
      </c>
      <c r="G1771">
        <v>77024</v>
      </c>
      <c r="H1771">
        <v>2010</v>
      </c>
      <c r="I1771" s="1">
        <v>25200</v>
      </c>
      <c r="J1771" s="1">
        <v>36000</v>
      </c>
      <c r="K1771" s="1">
        <v>23093.15</v>
      </c>
    </row>
    <row r="1772" spans="1:11" x14ac:dyDescent="0.35">
      <c r="A1772">
        <v>720086</v>
      </c>
      <c r="B1772">
        <v>1954417</v>
      </c>
      <c r="C1772" t="str">
        <f>"SPRING CREEK ELEMENTARY SCHOOL"</f>
        <v>SPRING CREEK ELEMENTARY SCHOOL</v>
      </c>
      <c r="D1772" t="s">
        <v>11</v>
      </c>
      <c r="E1772" t="s">
        <v>1443</v>
      </c>
      <c r="F1772" t="s">
        <v>1444</v>
      </c>
      <c r="G1772">
        <v>79080</v>
      </c>
      <c r="H1772">
        <v>2010</v>
      </c>
      <c r="I1772" s="1">
        <v>2400</v>
      </c>
      <c r="J1772" s="1">
        <v>3000</v>
      </c>
      <c r="K1772" s="1">
        <v>2400</v>
      </c>
    </row>
    <row r="1773" spans="1:11" x14ac:dyDescent="0.35">
      <c r="A1773">
        <v>750393</v>
      </c>
      <c r="B1773">
        <v>2027671</v>
      </c>
      <c r="C1773" t="str">
        <f>"SPRING HILL INDEP SCHOOL DIST"</f>
        <v>SPRING HILL INDEP SCHOOL DIST</v>
      </c>
      <c r="D1773" t="s">
        <v>11</v>
      </c>
      <c r="E1773" t="s">
        <v>1445</v>
      </c>
      <c r="F1773" t="s">
        <v>923</v>
      </c>
      <c r="G1773">
        <v>75605</v>
      </c>
      <c r="H1773">
        <v>2010</v>
      </c>
      <c r="I1773" s="1">
        <v>12311.4</v>
      </c>
      <c r="J1773" s="1">
        <v>24140</v>
      </c>
      <c r="K1773" s="1">
        <v>9761.4</v>
      </c>
    </row>
    <row r="1774" spans="1:11" x14ac:dyDescent="0.35">
      <c r="A1774">
        <v>707844</v>
      </c>
      <c r="B1774">
        <v>1936551</v>
      </c>
      <c r="C1774" t="str">
        <f>"SPRING INDEP SCHOOL DISTRICT"</f>
        <v>SPRING INDEP SCHOOL DISTRICT</v>
      </c>
      <c r="D1774" t="s">
        <v>11</v>
      </c>
      <c r="E1774" t="s">
        <v>1446</v>
      </c>
      <c r="F1774" t="s">
        <v>29</v>
      </c>
      <c r="G1774">
        <v>77090</v>
      </c>
      <c r="H1774">
        <v>2010</v>
      </c>
      <c r="I1774" s="1">
        <v>24000</v>
      </c>
      <c r="J1774" s="1">
        <v>30000</v>
      </c>
      <c r="K1774" s="1">
        <v>19656.86</v>
      </c>
    </row>
    <row r="1775" spans="1:11" x14ac:dyDescent="0.35">
      <c r="A1775">
        <v>707844</v>
      </c>
      <c r="B1775">
        <v>1936557</v>
      </c>
      <c r="C1775" t="str">
        <f>"SPRING INDEP SCHOOL DISTRICT"</f>
        <v>SPRING INDEP SCHOOL DISTRICT</v>
      </c>
      <c r="D1775" t="s">
        <v>11</v>
      </c>
      <c r="E1775" t="s">
        <v>1446</v>
      </c>
      <c r="F1775" t="s">
        <v>29</v>
      </c>
      <c r="G1775">
        <v>77090</v>
      </c>
      <c r="H1775">
        <v>2010</v>
      </c>
      <c r="I1775" s="1">
        <v>36848</v>
      </c>
      <c r="J1775" s="1">
        <v>46060</v>
      </c>
      <c r="K1775" s="1">
        <v>36848</v>
      </c>
    </row>
    <row r="1776" spans="1:11" x14ac:dyDescent="0.35">
      <c r="A1776">
        <v>727088</v>
      </c>
      <c r="B1776">
        <v>1970020</v>
      </c>
      <c r="C1776" t="str">
        <f>"SPRINGLAKE-EARTH IND SCH DIST"</f>
        <v>SPRINGLAKE-EARTH IND SCH DIST</v>
      </c>
      <c r="D1776" t="s">
        <v>11</v>
      </c>
      <c r="E1776" t="s">
        <v>1447</v>
      </c>
      <c r="F1776" t="s">
        <v>1448</v>
      </c>
      <c r="G1776">
        <v>79031</v>
      </c>
      <c r="H1776">
        <v>2010</v>
      </c>
      <c r="I1776" s="1">
        <v>9604.7999999999993</v>
      </c>
      <c r="J1776" s="1">
        <v>11040</v>
      </c>
      <c r="K1776" s="1">
        <v>9604.7999999999993</v>
      </c>
    </row>
    <row r="1777" spans="1:11" x14ac:dyDescent="0.35">
      <c r="A1777">
        <v>719999</v>
      </c>
      <c r="B1777">
        <v>1978544</v>
      </c>
      <c r="C1777" t="str">
        <f>"SPRINGTOWN INDEP SCHOOL DIST"</f>
        <v>SPRINGTOWN INDEP SCHOOL DIST</v>
      </c>
      <c r="D1777" t="s">
        <v>11</v>
      </c>
      <c r="E1777" t="s">
        <v>1449</v>
      </c>
      <c r="F1777" t="s">
        <v>1450</v>
      </c>
      <c r="G1777">
        <v>76082</v>
      </c>
      <c r="H1777">
        <v>2010</v>
      </c>
      <c r="I1777" s="1">
        <v>25296</v>
      </c>
      <c r="J1777" s="1">
        <v>37200</v>
      </c>
      <c r="K1777" s="1">
        <v>25296</v>
      </c>
    </row>
    <row r="1778" spans="1:11" x14ac:dyDescent="0.35">
      <c r="A1778">
        <v>719999</v>
      </c>
      <c r="B1778">
        <v>1978540</v>
      </c>
      <c r="C1778" t="str">
        <f>"SPRINGTOWN INDEP SCHOOL DIST"</f>
        <v>SPRINGTOWN INDEP SCHOOL DIST</v>
      </c>
      <c r="D1778" t="s">
        <v>11</v>
      </c>
      <c r="E1778" t="s">
        <v>1449</v>
      </c>
      <c r="F1778" t="s">
        <v>1450</v>
      </c>
      <c r="G1778">
        <v>76082</v>
      </c>
      <c r="H1778">
        <v>2010</v>
      </c>
      <c r="I1778" s="1">
        <v>4855.2</v>
      </c>
      <c r="J1778" s="1">
        <v>7140</v>
      </c>
      <c r="K1778" s="1">
        <v>4855.2</v>
      </c>
    </row>
    <row r="1779" spans="1:11" x14ac:dyDescent="0.35">
      <c r="A1779">
        <v>719999</v>
      </c>
      <c r="B1779">
        <v>1978518</v>
      </c>
      <c r="C1779" t="str">
        <f>"SPRINGTOWN INDEP SCHOOL DIST"</f>
        <v>SPRINGTOWN INDEP SCHOOL DIST</v>
      </c>
      <c r="D1779" t="s">
        <v>11</v>
      </c>
      <c r="E1779" t="s">
        <v>1449</v>
      </c>
      <c r="F1779" t="s">
        <v>1450</v>
      </c>
      <c r="G1779">
        <v>76082</v>
      </c>
      <c r="H1779">
        <v>2010</v>
      </c>
      <c r="I1779" s="1">
        <v>1359.22</v>
      </c>
      <c r="J1779" s="1">
        <v>1998.85</v>
      </c>
      <c r="K1779" s="1">
        <v>1359.22</v>
      </c>
    </row>
    <row r="1780" spans="1:11" x14ac:dyDescent="0.35">
      <c r="A1780">
        <v>754196</v>
      </c>
      <c r="B1780">
        <v>2047368</v>
      </c>
      <c r="C1780" t="str">
        <f>"STAFFORD MUNICIPAL SCHOOL DIST"</f>
        <v>STAFFORD MUNICIPAL SCHOOL DIST</v>
      </c>
      <c r="D1780" t="s">
        <v>11</v>
      </c>
      <c r="E1780" t="s">
        <v>1451</v>
      </c>
      <c r="F1780" t="s">
        <v>1452</v>
      </c>
      <c r="G1780">
        <v>77477</v>
      </c>
      <c r="H1780">
        <v>2010</v>
      </c>
      <c r="I1780" s="1">
        <v>5280</v>
      </c>
      <c r="J1780" s="1">
        <v>6600</v>
      </c>
      <c r="K1780" s="1">
        <v>880</v>
      </c>
    </row>
    <row r="1781" spans="1:11" x14ac:dyDescent="0.35">
      <c r="A1781">
        <v>742794</v>
      </c>
      <c r="B1781">
        <v>2005482</v>
      </c>
      <c r="C1781" t="str">
        <f>"STANTON INDEP SCHOOL DISTRICT"</f>
        <v>STANTON INDEP SCHOOL DISTRICT</v>
      </c>
      <c r="D1781" t="s">
        <v>11</v>
      </c>
      <c r="E1781" t="s">
        <v>1453</v>
      </c>
      <c r="F1781" t="s">
        <v>1454</v>
      </c>
      <c r="G1781">
        <v>79782</v>
      </c>
      <c r="H1781">
        <v>2010</v>
      </c>
      <c r="I1781" s="1">
        <v>6006</v>
      </c>
      <c r="J1781" s="1">
        <v>7800</v>
      </c>
      <c r="K1781" s="1">
        <v>6006</v>
      </c>
    </row>
    <row r="1782" spans="1:11" x14ac:dyDescent="0.35">
      <c r="A1782">
        <v>742560</v>
      </c>
      <c r="B1782">
        <v>2005078</v>
      </c>
      <c r="C1782" t="str">
        <f>"STANTON INDEP SCHOOL DISTRICT"</f>
        <v>STANTON INDEP SCHOOL DISTRICT</v>
      </c>
      <c r="D1782" t="s">
        <v>11</v>
      </c>
      <c r="E1782" t="s">
        <v>1453</v>
      </c>
      <c r="F1782" t="s">
        <v>1454</v>
      </c>
      <c r="G1782">
        <v>79782</v>
      </c>
      <c r="H1782">
        <v>2010</v>
      </c>
      <c r="I1782" s="1">
        <v>16215.43</v>
      </c>
      <c r="J1782" s="1">
        <v>21059</v>
      </c>
      <c r="K1782" s="1">
        <v>584.42999999999995</v>
      </c>
    </row>
    <row r="1783" spans="1:11" x14ac:dyDescent="0.35">
      <c r="A1783">
        <v>742794</v>
      </c>
      <c r="B1783">
        <v>2005454</v>
      </c>
      <c r="C1783" t="str">
        <f>"STANTON INDEP SCHOOL DISTRICT"</f>
        <v>STANTON INDEP SCHOOL DISTRICT</v>
      </c>
      <c r="D1783" t="s">
        <v>11</v>
      </c>
      <c r="E1783" t="s">
        <v>1453</v>
      </c>
      <c r="F1783" t="s">
        <v>1454</v>
      </c>
      <c r="G1783">
        <v>79782</v>
      </c>
      <c r="H1783">
        <v>2010</v>
      </c>
      <c r="I1783" s="1">
        <v>1201.2</v>
      </c>
      <c r="J1783" s="1">
        <v>1560</v>
      </c>
    </row>
    <row r="1784" spans="1:11" x14ac:dyDescent="0.35">
      <c r="A1784">
        <v>728005</v>
      </c>
      <c r="B1784">
        <v>2051126</v>
      </c>
      <c r="C1784" t="str">
        <f>"STAR INDEP SCHOOL DISTRICT"</f>
        <v>STAR INDEP SCHOOL DISTRICT</v>
      </c>
      <c r="D1784" t="s">
        <v>11</v>
      </c>
      <c r="E1784" t="s">
        <v>1455</v>
      </c>
      <c r="F1784" t="s">
        <v>1456</v>
      </c>
      <c r="G1784">
        <v>76880</v>
      </c>
      <c r="H1784">
        <v>2010</v>
      </c>
      <c r="I1784" s="1">
        <v>6134.4</v>
      </c>
      <c r="J1784" s="1">
        <v>6816</v>
      </c>
      <c r="K1784" s="1">
        <v>6134.4</v>
      </c>
    </row>
    <row r="1785" spans="1:11" x14ac:dyDescent="0.35">
      <c r="A1785">
        <v>703525</v>
      </c>
      <c r="B1785">
        <v>2008298</v>
      </c>
      <c r="C1785" t="str">
        <f>"STOCKDALE INDEP SCHOOL DIST"</f>
        <v>STOCKDALE INDEP SCHOOL DIST</v>
      </c>
      <c r="D1785" t="s">
        <v>11</v>
      </c>
      <c r="E1785" t="s">
        <v>1457</v>
      </c>
      <c r="F1785" t="s">
        <v>1458</v>
      </c>
      <c r="G1785">
        <v>78160</v>
      </c>
      <c r="H1785">
        <v>2010</v>
      </c>
      <c r="I1785" s="1">
        <v>19929.310000000001</v>
      </c>
      <c r="J1785" s="1">
        <v>24911.64</v>
      </c>
      <c r="K1785" s="1">
        <v>19929.310000000001</v>
      </c>
    </row>
    <row r="1786" spans="1:11" x14ac:dyDescent="0.35">
      <c r="A1786">
        <v>703525</v>
      </c>
      <c r="B1786">
        <v>2008270</v>
      </c>
      <c r="C1786" t="str">
        <f>"STOCKDALE INDEP SCHOOL DIST"</f>
        <v>STOCKDALE INDEP SCHOOL DIST</v>
      </c>
      <c r="D1786" t="s">
        <v>11</v>
      </c>
      <c r="E1786" t="s">
        <v>1457</v>
      </c>
      <c r="F1786" t="s">
        <v>1458</v>
      </c>
      <c r="G1786">
        <v>78160</v>
      </c>
      <c r="H1786">
        <v>2010</v>
      </c>
      <c r="I1786" s="1">
        <v>62784</v>
      </c>
      <c r="J1786" s="1">
        <v>78480</v>
      </c>
      <c r="K1786" s="1">
        <v>62784</v>
      </c>
    </row>
    <row r="1787" spans="1:11" x14ac:dyDescent="0.35">
      <c r="A1787">
        <v>710964</v>
      </c>
      <c r="B1787">
        <v>1940204</v>
      </c>
      <c r="C1787" t="str">
        <f>"STRATFORD INDEP SCHOOL DIST"</f>
        <v>STRATFORD INDEP SCHOOL DIST</v>
      </c>
      <c r="D1787" t="s">
        <v>11</v>
      </c>
      <c r="E1787" t="s">
        <v>1459</v>
      </c>
      <c r="F1787" t="s">
        <v>1460</v>
      </c>
      <c r="G1787">
        <v>79084</v>
      </c>
      <c r="H1787">
        <v>2010</v>
      </c>
      <c r="I1787" s="1">
        <v>2960.06</v>
      </c>
      <c r="J1787" s="1">
        <v>3700.08</v>
      </c>
      <c r="K1787" s="1">
        <v>2960</v>
      </c>
    </row>
    <row r="1788" spans="1:11" x14ac:dyDescent="0.35">
      <c r="A1788">
        <v>710964</v>
      </c>
      <c r="B1788">
        <v>1940200</v>
      </c>
      <c r="C1788" t="str">
        <f>"STRATFORD INDEP SCHOOL DIST"</f>
        <v>STRATFORD INDEP SCHOOL DIST</v>
      </c>
      <c r="D1788" t="s">
        <v>11</v>
      </c>
      <c r="E1788" t="s">
        <v>1459</v>
      </c>
      <c r="F1788" t="s">
        <v>1460</v>
      </c>
      <c r="G1788">
        <v>79084</v>
      </c>
      <c r="H1788">
        <v>2010</v>
      </c>
      <c r="I1788" s="1">
        <v>16712.060000000001</v>
      </c>
      <c r="J1788" s="1">
        <v>20890.080000000002</v>
      </c>
      <c r="K1788" s="1">
        <v>14912</v>
      </c>
    </row>
    <row r="1789" spans="1:11" x14ac:dyDescent="0.35">
      <c r="A1789">
        <v>710964</v>
      </c>
      <c r="B1789">
        <v>1940180</v>
      </c>
      <c r="C1789" t="str">
        <f>"STRATFORD INDEP SCHOOL DIST"</f>
        <v>STRATFORD INDEP SCHOOL DIST</v>
      </c>
      <c r="D1789" t="s">
        <v>11</v>
      </c>
      <c r="E1789" t="s">
        <v>1459</v>
      </c>
      <c r="F1789" t="s">
        <v>1460</v>
      </c>
      <c r="G1789">
        <v>79084</v>
      </c>
      <c r="H1789">
        <v>2010</v>
      </c>
      <c r="I1789" s="1">
        <v>374.4</v>
      </c>
      <c r="J1789" s="1">
        <v>468</v>
      </c>
      <c r="K1789" s="1">
        <v>374.4</v>
      </c>
    </row>
    <row r="1790" spans="1:11" x14ac:dyDescent="0.35">
      <c r="A1790">
        <v>736481</v>
      </c>
      <c r="B1790">
        <v>2003320</v>
      </c>
      <c r="C1790" t="str">
        <f>"STRAWN INDEP SCHOOL DISTRICT"</f>
        <v>STRAWN INDEP SCHOOL DISTRICT</v>
      </c>
      <c r="D1790" t="s">
        <v>11</v>
      </c>
      <c r="E1790" t="s">
        <v>1461</v>
      </c>
      <c r="F1790" t="s">
        <v>1462</v>
      </c>
      <c r="G1790">
        <v>76475</v>
      </c>
      <c r="H1790">
        <v>2010</v>
      </c>
      <c r="I1790" s="1">
        <v>663.46</v>
      </c>
      <c r="J1790" s="1">
        <v>829.32</v>
      </c>
      <c r="K1790" s="1">
        <v>663.46</v>
      </c>
    </row>
    <row r="1791" spans="1:11" x14ac:dyDescent="0.35">
      <c r="A1791">
        <v>736481</v>
      </c>
      <c r="B1791">
        <v>2003365</v>
      </c>
      <c r="C1791" t="str">
        <f>"STRAWN INDEP SCHOOL DISTRICT"</f>
        <v>STRAWN INDEP SCHOOL DISTRICT</v>
      </c>
      <c r="D1791" t="s">
        <v>11</v>
      </c>
      <c r="E1791" t="s">
        <v>1461</v>
      </c>
      <c r="F1791" t="s">
        <v>1462</v>
      </c>
      <c r="G1791">
        <v>76475</v>
      </c>
      <c r="H1791">
        <v>2010</v>
      </c>
      <c r="I1791" s="1">
        <v>399.74</v>
      </c>
      <c r="J1791" s="1">
        <v>499.68</v>
      </c>
      <c r="K1791" s="1">
        <v>399.74</v>
      </c>
    </row>
    <row r="1792" spans="1:11" x14ac:dyDescent="0.35">
      <c r="A1792">
        <v>736481</v>
      </c>
      <c r="B1792">
        <v>2003274</v>
      </c>
      <c r="C1792" t="str">
        <f>"STRAWN INDEP SCHOOL DISTRICT"</f>
        <v>STRAWN INDEP SCHOOL DISTRICT</v>
      </c>
      <c r="D1792" t="s">
        <v>11</v>
      </c>
      <c r="E1792" t="s">
        <v>1461</v>
      </c>
      <c r="F1792" t="s">
        <v>1462</v>
      </c>
      <c r="G1792">
        <v>76475</v>
      </c>
      <c r="H1792">
        <v>2010</v>
      </c>
      <c r="I1792" s="1">
        <v>2880</v>
      </c>
      <c r="J1792" s="1">
        <v>3600</v>
      </c>
      <c r="K1792" s="1">
        <v>1728</v>
      </c>
    </row>
    <row r="1793" spans="1:11" x14ac:dyDescent="0.35">
      <c r="A1793">
        <v>736432</v>
      </c>
      <c r="B1793">
        <v>1990060</v>
      </c>
      <c r="C1793" t="str">
        <f>"SUDAN INDEP SCHOOL DISTRICT"</f>
        <v>SUDAN INDEP SCHOOL DISTRICT</v>
      </c>
      <c r="D1793" t="s">
        <v>11</v>
      </c>
      <c r="E1793" t="s">
        <v>924</v>
      </c>
      <c r="F1793" t="s">
        <v>1463</v>
      </c>
      <c r="G1793">
        <v>79371</v>
      </c>
      <c r="H1793">
        <v>2010</v>
      </c>
      <c r="I1793" s="1">
        <v>28483.200000000001</v>
      </c>
      <c r="J1793" s="1">
        <v>33120</v>
      </c>
      <c r="K1793" s="1">
        <v>9494.4</v>
      </c>
    </row>
    <row r="1794" spans="1:11" x14ac:dyDescent="0.35">
      <c r="A1794">
        <v>709023</v>
      </c>
      <c r="B1794">
        <v>1940709</v>
      </c>
      <c r="C1794" t="str">
        <f>"SULPHUR BLUFF SCHOOL DISTRICT"</f>
        <v>SULPHUR BLUFF SCHOOL DISTRICT</v>
      </c>
      <c r="D1794" t="s">
        <v>11</v>
      </c>
      <c r="E1794" t="s">
        <v>1464</v>
      </c>
      <c r="F1794" t="s">
        <v>1465</v>
      </c>
      <c r="G1794">
        <v>75481</v>
      </c>
      <c r="H1794">
        <v>2010</v>
      </c>
      <c r="I1794" s="1">
        <v>1137.05</v>
      </c>
      <c r="J1794" s="1">
        <v>1624.35</v>
      </c>
      <c r="K1794" s="1">
        <v>1137.05</v>
      </c>
    </row>
    <row r="1795" spans="1:11" x14ac:dyDescent="0.35">
      <c r="A1795">
        <v>766852</v>
      </c>
      <c r="B1795">
        <v>2073969</v>
      </c>
      <c r="C1795" t="str">
        <f>"SUNDOWN INDEP SCHOOL DISTRICT"</f>
        <v>SUNDOWN INDEP SCHOOL DISTRICT</v>
      </c>
      <c r="D1795" t="s">
        <v>11</v>
      </c>
      <c r="E1795" t="s">
        <v>1466</v>
      </c>
      <c r="F1795" t="s">
        <v>1467</v>
      </c>
      <c r="G1795">
        <v>79372</v>
      </c>
      <c r="H1795">
        <v>2010</v>
      </c>
      <c r="I1795" s="1">
        <v>7236</v>
      </c>
      <c r="J1795" s="1">
        <v>10800</v>
      </c>
      <c r="K1795" s="1">
        <v>4958</v>
      </c>
    </row>
    <row r="1796" spans="1:11" x14ac:dyDescent="0.35">
      <c r="A1796">
        <v>766852</v>
      </c>
      <c r="B1796">
        <v>2073937</v>
      </c>
      <c r="C1796" t="str">
        <f>"SUNDOWN INDEP SCHOOL DISTRICT"</f>
        <v>SUNDOWN INDEP SCHOOL DISTRICT</v>
      </c>
      <c r="D1796" t="s">
        <v>11</v>
      </c>
      <c r="E1796" t="s">
        <v>1466</v>
      </c>
      <c r="F1796" t="s">
        <v>1467</v>
      </c>
      <c r="G1796">
        <v>79372</v>
      </c>
      <c r="H1796">
        <v>2010</v>
      </c>
      <c r="I1796" s="1">
        <v>0</v>
      </c>
      <c r="J1796" s="1">
        <v>0</v>
      </c>
    </row>
    <row r="1797" spans="1:11" x14ac:dyDescent="0.35">
      <c r="A1797">
        <v>715937</v>
      </c>
      <c r="B1797">
        <v>1954571</v>
      </c>
      <c r="C1797" t="str">
        <f>"SUNRAY INDEP SCHOOL DISTRICT"</f>
        <v>SUNRAY INDEP SCHOOL DISTRICT</v>
      </c>
      <c r="D1797" t="s">
        <v>11</v>
      </c>
      <c r="E1797" t="s">
        <v>1468</v>
      </c>
      <c r="F1797" t="s">
        <v>1469</v>
      </c>
      <c r="G1797">
        <v>79086</v>
      </c>
      <c r="H1797">
        <v>2010</v>
      </c>
      <c r="I1797" s="1">
        <v>5253.94</v>
      </c>
      <c r="J1797" s="1">
        <v>7399.92</v>
      </c>
      <c r="K1797" s="1">
        <v>5253.94</v>
      </c>
    </row>
    <row r="1798" spans="1:11" x14ac:dyDescent="0.35">
      <c r="A1798">
        <v>715937</v>
      </c>
      <c r="B1798">
        <v>1954561</v>
      </c>
      <c r="C1798" t="str">
        <f>"SUNRAY INDEP SCHOOL DISTRICT"</f>
        <v>SUNRAY INDEP SCHOOL DISTRICT</v>
      </c>
      <c r="D1798" t="s">
        <v>11</v>
      </c>
      <c r="E1798" t="s">
        <v>1468</v>
      </c>
      <c r="F1798" t="s">
        <v>1469</v>
      </c>
      <c r="G1798">
        <v>79086</v>
      </c>
      <c r="H1798">
        <v>2010</v>
      </c>
      <c r="I1798" s="1">
        <v>6844.37</v>
      </c>
      <c r="J1798" s="1">
        <v>9639.9599999999991</v>
      </c>
      <c r="K1798" s="1">
        <v>6844.37</v>
      </c>
    </row>
    <row r="1799" spans="1:11" x14ac:dyDescent="0.35">
      <c r="A1799">
        <v>766660</v>
      </c>
      <c r="B1799">
        <v>2073072</v>
      </c>
      <c r="C1799" t="str">
        <f>"SWEENY INDEP SCHOOL DISTRICT"</f>
        <v>SWEENY INDEP SCHOOL DISTRICT</v>
      </c>
      <c r="D1799" t="s">
        <v>11</v>
      </c>
      <c r="E1799" t="s">
        <v>1470</v>
      </c>
      <c r="F1799" t="s">
        <v>1471</v>
      </c>
      <c r="G1799">
        <v>77480</v>
      </c>
      <c r="H1799">
        <v>2010</v>
      </c>
      <c r="I1799" s="1">
        <v>15302.49</v>
      </c>
      <c r="J1799" s="1">
        <v>22177.52</v>
      </c>
    </row>
    <row r="1800" spans="1:11" x14ac:dyDescent="0.35">
      <c r="A1800">
        <v>766660</v>
      </c>
      <c r="B1800">
        <v>2073152</v>
      </c>
      <c r="C1800" t="str">
        <f>"SWEENY INDEP SCHOOL DISTRICT"</f>
        <v>SWEENY INDEP SCHOOL DISTRICT</v>
      </c>
      <c r="D1800" t="s">
        <v>11</v>
      </c>
      <c r="E1800" t="s">
        <v>1470</v>
      </c>
      <c r="F1800" t="s">
        <v>1471</v>
      </c>
      <c r="G1800">
        <v>77480</v>
      </c>
      <c r="H1800">
        <v>2010</v>
      </c>
      <c r="I1800" s="1">
        <v>6469.79</v>
      </c>
      <c r="J1800" s="1">
        <v>9376.5</v>
      </c>
      <c r="K1800" s="1">
        <v>6469.79</v>
      </c>
    </row>
    <row r="1801" spans="1:11" x14ac:dyDescent="0.35">
      <c r="A1801">
        <v>734266</v>
      </c>
      <c r="B1801">
        <v>1984976</v>
      </c>
      <c r="C1801" t="str">
        <f>"SWEET HOME INDEP SCH DISTRICT"</f>
        <v>SWEET HOME INDEP SCH DISTRICT</v>
      </c>
      <c r="D1801" t="s">
        <v>11</v>
      </c>
      <c r="E1801" t="s">
        <v>1472</v>
      </c>
      <c r="F1801" t="s">
        <v>1473</v>
      </c>
      <c r="G1801">
        <v>77987</v>
      </c>
      <c r="H1801">
        <v>2010</v>
      </c>
      <c r="I1801" s="1">
        <v>180</v>
      </c>
      <c r="J1801" s="1">
        <v>300</v>
      </c>
      <c r="K1801" s="1">
        <v>180</v>
      </c>
    </row>
    <row r="1802" spans="1:11" x14ac:dyDescent="0.35">
      <c r="A1802">
        <v>734266</v>
      </c>
      <c r="B1802">
        <v>1984961</v>
      </c>
      <c r="C1802" t="str">
        <f>"SWEET HOME INDEP SCH DISTRICT"</f>
        <v>SWEET HOME INDEP SCH DISTRICT</v>
      </c>
      <c r="D1802" t="s">
        <v>11</v>
      </c>
      <c r="E1802" t="s">
        <v>1472</v>
      </c>
      <c r="F1802" t="s">
        <v>1473</v>
      </c>
      <c r="G1802">
        <v>77987</v>
      </c>
      <c r="H1802">
        <v>2010</v>
      </c>
      <c r="I1802" s="1">
        <v>5400</v>
      </c>
      <c r="J1802" s="1">
        <v>9000</v>
      </c>
      <c r="K1802" s="1">
        <v>4920</v>
      </c>
    </row>
    <row r="1803" spans="1:11" x14ac:dyDescent="0.35">
      <c r="A1803">
        <v>734266</v>
      </c>
      <c r="B1803">
        <v>1984968</v>
      </c>
      <c r="C1803" t="str">
        <f>"SWEET HOME INDEP SCH DISTRICT"</f>
        <v>SWEET HOME INDEP SCH DISTRICT</v>
      </c>
      <c r="D1803" t="s">
        <v>11</v>
      </c>
      <c r="E1803" t="s">
        <v>1472</v>
      </c>
      <c r="F1803" t="s">
        <v>1473</v>
      </c>
      <c r="G1803">
        <v>77987</v>
      </c>
      <c r="H1803">
        <v>2010</v>
      </c>
      <c r="I1803" s="1">
        <v>300.02</v>
      </c>
      <c r="J1803" s="1">
        <v>500.04</v>
      </c>
      <c r="K1803" s="1">
        <v>300</v>
      </c>
    </row>
    <row r="1804" spans="1:11" x14ac:dyDescent="0.35">
      <c r="A1804">
        <v>749128</v>
      </c>
      <c r="B1804">
        <v>2023582</v>
      </c>
      <c r="C1804" t="str">
        <f>"SWEETWATER INDEP SCHOOL DIST"</f>
        <v>SWEETWATER INDEP SCHOOL DIST</v>
      </c>
      <c r="D1804" t="s">
        <v>11</v>
      </c>
      <c r="E1804" t="s">
        <v>1474</v>
      </c>
      <c r="F1804" t="s">
        <v>1475</v>
      </c>
      <c r="G1804">
        <v>79556</v>
      </c>
      <c r="H1804">
        <v>2010</v>
      </c>
      <c r="I1804" s="1">
        <v>4825.7299999999996</v>
      </c>
      <c r="J1804" s="1">
        <v>6032.16</v>
      </c>
      <c r="K1804" s="1">
        <v>4825.7299999999996</v>
      </c>
    </row>
    <row r="1805" spans="1:11" x14ac:dyDescent="0.35">
      <c r="A1805">
        <v>750029</v>
      </c>
      <c r="B1805">
        <v>2026791</v>
      </c>
      <c r="C1805" t="str">
        <f>"TAFT INDEP SCHOOL DISTRICT"</f>
        <v>TAFT INDEP SCHOOL DISTRICT</v>
      </c>
      <c r="D1805" t="s">
        <v>11</v>
      </c>
      <c r="E1805" t="s">
        <v>1476</v>
      </c>
      <c r="F1805" t="s">
        <v>1477</v>
      </c>
      <c r="G1805">
        <v>78390</v>
      </c>
      <c r="H1805">
        <v>2010</v>
      </c>
      <c r="I1805" s="1">
        <v>0</v>
      </c>
      <c r="J1805" s="1">
        <v>0</v>
      </c>
    </row>
    <row r="1806" spans="1:11" x14ac:dyDescent="0.35">
      <c r="A1806">
        <v>750029</v>
      </c>
      <c r="B1806">
        <v>2027337</v>
      </c>
      <c r="C1806" t="str">
        <f>"TAFT INDEP SCHOOL DISTRICT"</f>
        <v>TAFT INDEP SCHOOL DISTRICT</v>
      </c>
      <c r="D1806" t="s">
        <v>11</v>
      </c>
      <c r="E1806" t="s">
        <v>1476</v>
      </c>
      <c r="F1806" t="s">
        <v>1477</v>
      </c>
      <c r="G1806">
        <v>78390</v>
      </c>
      <c r="H1806">
        <v>2010</v>
      </c>
      <c r="I1806" s="1">
        <v>48379.59</v>
      </c>
      <c r="J1806" s="1">
        <v>55608.72</v>
      </c>
      <c r="K1806" s="1">
        <v>45878.58</v>
      </c>
    </row>
    <row r="1807" spans="1:11" x14ac:dyDescent="0.35">
      <c r="A1807">
        <v>735249</v>
      </c>
      <c r="B1807">
        <v>1987016</v>
      </c>
      <c r="C1807" t="str">
        <f>"TAHOKA INDEP SCHOOL DISTRICT"</f>
        <v>TAHOKA INDEP SCHOOL DISTRICT</v>
      </c>
      <c r="D1807" t="s">
        <v>11</v>
      </c>
      <c r="E1807" t="s">
        <v>1478</v>
      </c>
      <c r="F1807" t="s">
        <v>1479</v>
      </c>
      <c r="G1807">
        <v>79373</v>
      </c>
      <c r="H1807">
        <v>2010</v>
      </c>
      <c r="I1807" s="1">
        <v>1461.6</v>
      </c>
      <c r="J1807" s="1">
        <v>1827</v>
      </c>
      <c r="K1807" s="1">
        <v>1461.6</v>
      </c>
    </row>
    <row r="1808" spans="1:11" x14ac:dyDescent="0.35">
      <c r="A1808">
        <v>735249</v>
      </c>
      <c r="B1808">
        <v>1987011</v>
      </c>
      <c r="C1808" t="str">
        <f>"TAHOKA INDEP SCHOOL DISTRICT"</f>
        <v>TAHOKA INDEP SCHOOL DISTRICT</v>
      </c>
      <c r="D1808" t="s">
        <v>11</v>
      </c>
      <c r="E1808" t="s">
        <v>1478</v>
      </c>
      <c r="F1808" t="s">
        <v>1479</v>
      </c>
      <c r="G1808">
        <v>79373</v>
      </c>
      <c r="H1808">
        <v>2010</v>
      </c>
      <c r="I1808" s="1">
        <v>6240</v>
      </c>
      <c r="J1808" s="1">
        <v>7800</v>
      </c>
      <c r="K1808" s="1">
        <v>6240</v>
      </c>
    </row>
    <row r="1809" spans="1:11" x14ac:dyDescent="0.35">
      <c r="A1809">
        <v>764403</v>
      </c>
      <c r="B1809">
        <v>2065295</v>
      </c>
      <c r="C1809" t="str">
        <f>"TAHOKA INDEP SCHOOL DISTRICT"</f>
        <v>TAHOKA INDEP SCHOOL DISTRICT</v>
      </c>
      <c r="D1809" t="s">
        <v>11</v>
      </c>
      <c r="E1809" t="s">
        <v>1478</v>
      </c>
      <c r="F1809" t="s">
        <v>1479</v>
      </c>
      <c r="G1809">
        <v>79373</v>
      </c>
      <c r="H1809">
        <v>2010</v>
      </c>
      <c r="I1809" s="1">
        <v>330</v>
      </c>
      <c r="J1809" s="1">
        <v>412.5</v>
      </c>
      <c r="K1809" s="1">
        <v>330</v>
      </c>
    </row>
    <row r="1810" spans="1:11" x14ac:dyDescent="0.35">
      <c r="A1810">
        <v>765010</v>
      </c>
      <c r="B1810">
        <v>2067967</v>
      </c>
      <c r="C1810" t="str">
        <f>"TARKINGTON INDEP SCHOOL DIST"</f>
        <v>TARKINGTON INDEP SCHOOL DIST</v>
      </c>
      <c r="D1810" t="s">
        <v>11</v>
      </c>
      <c r="E1810" t="s">
        <v>1480</v>
      </c>
      <c r="F1810" t="s">
        <v>321</v>
      </c>
      <c r="G1810">
        <v>77327</v>
      </c>
      <c r="H1810">
        <v>2010</v>
      </c>
      <c r="I1810" s="1">
        <v>9871.02</v>
      </c>
      <c r="J1810" s="1">
        <v>15668.28</v>
      </c>
      <c r="K1810" s="1">
        <v>8233.06</v>
      </c>
    </row>
    <row r="1811" spans="1:11" x14ac:dyDescent="0.35">
      <c r="A1811">
        <v>746764</v>
      </c>
      <c r="B1811">
        <v>2016130</v>
      </c>
      <c r="C1811" t="str">
        <f>"TATUM INDEP SCHOOL DISTRICT"</f>
        <v>TATUM INDEP SCHOOL DISTRICT</v>
      </c>
      <c r="D1811" t="s">
        <v>11</v>
      </c>
      <c r="E1811" t="s">
        <v>1481</v>
      </c>
      <c r="F1811" t="s">
        <v>1482</v>
      </c>
      <c r="G1811">
        <v>75691</v>
      </c>
      <c r="H1811">
        <v>2010</v>
      </c>
      <c r="I1811" s="1">
        <v>3957.68</v>
      </c>
      <c r="J1811" s="1">
        <v>5139.84</v>
      </c>
    </row>
    <row r="1812" spans="1:11" x14ac:dyDescent="0.35">
      <c r="A1812">
        <v>746764</v>
      </c>
      <c r="B1812">
        <v>2016161</v>
      </c>
      <c r="C1812" t="str">
        <f>"TATUM INDEP SCHOOL DISTRICT"</f>
        <v>TATUM INDEP SCHOOL DISTRICT</v>
      </c>
      <c r="D1812" t="s">
        <v>11</v>
      </c>
      <c r="E1812" t="s">
        <v>1481</v>
      </c>
      <c r="F1812" t="s">
        <v>1482</v>
      </c>
      <c r="G1812">
        <v>75691</v>
      </c>
      <c r="H1812">
        <v>2010</v>
      </c>
      <c r="I1812" s="1">
        <v>14044.8</v>
      </c>
      <c r="J1812" s="1">
        <v>18240</v>
      </c>
    </row>
    <row r="1813" spans="1:11" x14ac:dyDescent="0.35">
      <c r="A1813">
        <v>746764</v>
      </c>
      <c r="B1813">
        <v>2016237</v>
      </c>
      <c r="C1813" t="str">
        <f>"TATUM INDEP SCHOOL DISTRICT"</f>
        <v>TATUM INDEP SCHOOL DISTRICT</v>
      </c>
      <c r="D1813" t="s">
        <v>11</v>
      </c>
      <c r="E1813" t="s">
        <v>1481</v>
      </c>
      <c r="F1813" t="s">
        <v>1482</v>
      </c>
      <c r="G1813">
        <v>75691</v>
      </c>
      <c r="H1813">
        <v>2010</v>
      </c>
      <c r="I1813" s="1">
        <v>1799.88</v>
      </c>
      <c r="J1813" s="1">
        <v>2337.5</v>
      </c>
      <c r="K1813" s="1">
        <v>1799.88</v>
      </c>
    </row>
    <row r="1814" spans="1:11" x14ac:dyDescent="0.35">
      <c r="A1814">
        <v>750355</v>
      </c>
      <c r="B1814">
        <v>2077012</v>
      </c>
      <c r="C1814" t="str">
        <f>"TAYLOR INDEP SCHOOL DISTRICT"</f>
        <v>TAYLOR INDEP SCHOOL DISTRICT</v>
      </c>
      <c r="D1814" t="s">
        <v>11</v>
      </c>
      <c r="E1814" t="s">
        <v>1483</v>
      </c>
      <c r="F1814" t="s">
        <v>1484</v>
      </c>
      <c r="G1814">
        <v>76574</v>
      </c>
      <c r="H1814">
        <v>2010</v>
      </c>
      <c r="I1814" s="1">
        <v>7363.63</v>
      </c>
      <c r="J1814" s="1">
        <v>8871.84</v>
      </c>
      <c r="K1814" s="1">
        <v>7363.63</v>
      </c>
    </row>
    <row r="1815" spans="1:11" x14ac:dyDescent="0.35">
      <c r="A1815">
        <v>750355</v>
      </c>
      <c r="B1815">
        <v>2076879</v>
      </c>
      <c r="C1815" t="str">
        <f>"TAYLOR INDEP SCHOOL DISTRICT"</f>
        <v>TAYLOR INDEP SCHOOL DISTRICT</v>
      </c>
      <c r="D1815" t="s">
        <v>11</v>
      </c>
      <c r="E1815" t="s">
        <v>1483</v>
      </c>
      <c r="F1815" t="s">
        <v>1484</v>
      </c>
      <c r="G1815">
        <v>76574</v>
      </c>
      <c r="H1815">
        <v>2010</v>
      </c>
      <c r="I1815" s="1">
        <v>19920</v>
      </c>
      <c r="J1815" s="1">
        <v>24000</v>
      </c>
      <c r="K1815" s="1">
        <v>19920</v>
      </c>
    </row>
    <row r="1816" spans="1:11" x14ac:dyDescent="0.35">
      <c r="A1816">
        <v>722346</v>
      </c>
      <c r="B1816">
        <v>1963163</v>
      </c>
      <c r="C1816" t="str">
        <f>"TEAGUE INDEP SCHOOL DISTRICT"</f>
        <v>TEAGUE INDEP SCHOOL DISTRICT</v>
      </c>
      <c r="D1816" t="s">
        <v>11</v>
      </c>
      <c r="E1816" t="s">
        <v>1485</v>
      </c>
      <c r="F1816" t="s">
        <v>438</v>
      </c>
      <c r="G1816">
        <v>75860</v>
      </c>
      <c r="H1816">
        <v>2010</v>
      </c>
      <c r="I1816" s="1">
        <v>25401.599999999999</v>
      </c>
      <c r="J1816" s="1">
        <v>35280</v>
      </c>
      <c r="K1816" s="1">
        <v>25401.599999999999</v>
      </c>
    </row>
    <row r="1817" spans="1:11" x14ac:dyDescent="0.35">
      <c r="A1817">
        <v>735537</v>
      </c>
      <c r="B1817">
        <v>1988718</v>
      </c>
      <c r="C1817" t="str">
        <f>"TECHNOLOGY EDUCATION CHARTER SCHOOL"</f>
        <v>TECHNOLOGY EDUCATION CHARTER SCHOOL</v>
      </c>
      <c r="D1817" t="s">
        <v>11</v>
      </c>
      <c r="E1817" t="s">
        <v>1486</v>
      </c>
      <c r="F1817" t="s">
        <v>1487</v>
      </c>
      <c r="G1817">
        <v>78596</v>
      </c>
      <c r="H1817">
        <v>2010</v>
      </c>
      <c r="I1817" s="1">
        <v>129.49</v>
      </c>
      <c r="J1817" s="1">
        <v>143.88</v>
      </c>
    </row>
    <row r="1818" spans="1:11" x14ac:dyDescent="0.35">
      <c r="A1818">
        <v>735537</v>
      </c>
      <c r="B1818">
        <v>1988731</v>
      </c>
      <c r="C1818" t="str">
        <f>"TECHNOLOGY EDUCATION CHARTER SCHOOL"</f>
        <v>TECHNOLOGY EDUCATION CHARTER SCHOOL</v>
      </c>
      <c r="D1818" t="s">
        <v>11</v>
      </c>
      <c r="E1818" t="s">
        <v>1486</v>
      </c>
      <c r="F1818" t="s">
        <v>1487</v>
      </c>
      <c r="G1818">
        <v>78596</v>
      </c>
      <c r="H1818">
        <v>2010</v>
      </c>
      <c r="I1818" s="1">
        <v>6192</v>
      </c>
      <c r="J1818" s="1">
        <v>7740</v>
      </c>
      <c r="K1818" s="1">
        <v>5395.2</v>
      </c>
    </row>
    <row r="1819" spans="1:11" x14ac:dyDescent="0.35">
      <c r="A1819">
        <v>735537</v>
      </c>
      <c r="B1819">
        <v>1988709</v>
      </c>
      <c r="C1819" t="str">
        <f>"TECHNOLOGY EDUCATION CHARTER SCHOOL"</f>
        <v>TECHNOLOGY EDUCATION CHARTER SCHOOL</v>
      </c>
      <c r="D1819" t="s">
        <v>11</v>
      </c>
      <c r="E1819" t="s">
        <v>1486</v>
      </c>
      <c r="F1819" t="s">
        <v>1487</v>
      </c>
      <c r="G1819">
        <v>78596</v>
      </c>
      <c r="H1819">
        <v>2010</v>
      </c>
      <c r="I1819" s="1">
        <v>2880</v>
      </c>
      <c r="J1819" s="1">
        <v>3600</v>
      </c>
    </row>
    <row r="1820" spans="1:11" x14ac:dyDescent="0.35">
      <c r="A1820">
        <v>735537</v>
      </c>
      <c r="B1820">
        <v>1988700</v>
      </c>
      <c r="C1820" t="str">
        <f>"TECHNOLOGY EDUCATION CHARTER SCHOOL"</f>
        <v>TECHNOLOGY EDUCATION CHARTER SCHOOL</v>
      </c>
      <c r="D1820" t="s">
        <v>11</v>
      </c>
      <c r="E1820" t="s">
        <v>1486</v>
      </c>
      <c r="F1820" t="s">
        <v>1487</v>
      </c>
      <c r="G1820">
        <v>78596</v>
      </c>
      <c r="H1820">
        <v>2010</v>
      </c>
      <c r="I1820" s="1">
        <v>8155.08</v>
      </c>
      <c r="J1820" s="1">
        <v>9061.2000000000007</v>
      </c>
      <c r="K1820" s="1">
        <v>8155.08</v>
      </c>
    </row>
    <row r="1821" spans="1:11" x14ac:dyDescent="0.35">
      <c r="A1821">
        <v>735537</v>
      </c>
      <c r="B1821">
        <v>2005636</v>
      </c>
      <c r="C1821" t="str">
        <f>"TECHNOLOGY EDUCATION CHARTER SCHOOL"</f>
        <v>TECHNOLOGY EDUCATION CHARTER SCHOOL</v>
      </c>
      <c r="D1821" t="s">
        <v>11</v>
      </c>
      <c r="E1821" t="s">
        <v>1486</v>
      </c>
      <c r="F1821" t="s">
        <v>1487</v>
      </c>
      <c r="G1821">
        <v>78596</v>
      </c>
      <c r="H1821">
        <v>2010</v>
      </c>
      <c r="I1821" s="1">
        <v>912.92</v>
      </c>
      <c r="J1821" s="1">
        <v>1014.36</v>
      </c>
      <c r="K1821" s="1">
        <v>912.92</v>
      </c>
    </row>
    <row r="1822" spans="1:11" x14ac:dyDescent="0.35">
      <c r="A1822">
        <v>746476</v>
      </c>
      <c r="B1822">
        <v>2015183</v>
      </c>
      <c r="C1822" t="str">
        <f t="shared" ref="C1822:C1831" si="25">"TEMPLE INDEP SCHOOL DISTRICT"</f>
        <v>TEMPLE INDEP SCHOOL DISTRICT</v>
      </c>
      <c r="D1822" t="s">
        <v>11</v>
      </c>
      <c r="E1822" t="s">
        <v>1488</v>
      </c>
      <c r="F1822" t="s">
        <v>1489</v>
      </c>
      <c r="G1822">
        <v>76504</v>
      </c>
      <c r="H1822">
        <v>2010</v>
      </c>
      <c r="I1822" s="1">
        <v>0</v>
      </c>
      <c r="J1822" s="1">
        <v>0</v>
      </c>
    </row>
    <row r="1823" spans="1:11" x14ac:dyDescent="0.35">
      <c r="A1823">
        <v>746476</v>
      </c>
      <c r="B1823">
        <v>2015179</v>
      </c>
      <c r="C1823" t="str">
        <f t="shared" si="25"/>
        <v>TEMPLE INDEP SCHOOL DISTRICT</v>
      </c>
      <c r="D1823" t="s">
        <v>11</v>
      </c>
      <c r="E1823" t="s">
        <v>1488</v>
      </c>
      <c r="F1823" t="s">
        <v>1489</v>
      </c>
      <c r="G1823">
        <v>76504</v>
      </c>
      <c r="H1823">
        <v>2010</v>
      </c>
      <c r="I1823" s="1">
        <v>0</v>
      </c>
      <c r="J1823" s="1">
        <v>0</v>
      </c>
    </row>
    <row r="1824" spans="1:11" x14ac:dyDescent="0.35">
      <c r="A1824">
        <v>746983</v>
      </c>
      <c r="B1824">
        <v>2016422</v>
      </c>
      <c r="C1824" t="str">
        <f t="shared" si="25"/>
        <v>TEMPLE INDEP SCHOOL DISTRICT</v>
      </c>
      <c r="D1824" t="s">
        <v>11</v>
      </c>
      <c r="E1824" t="s">
        <v>1488</v>
      </c>
      <c r="F1824" t="s">
        <v>1489</v>
      </c>
      <c r="G1824">
        <v>76504</v>
      </c>
      <c r="H1824">
        <v>2010</v>
      </c>
      <c r="I1824" s="1">
        <v>361764.3</v>
      </c>
      <c r="J1824" s="1">
        <v>469823.76</v>
      </c>
    </row>
    <row r="1825" spans="1:11" x14ac:dyDescent="0.35">
      <c r="A1825">
        <v>743966</v>
      </c>
      <c r="B1825">
        <v>2040715</v>
      </c>
      <c r="C1825" t="str">
        <f t="shared" si="25"/>
        <v>TEMPLE INDEP SCHOOL DISTRICT</v>
      </c>
      <c r="D1825" t="s">
        <v>11</v>
      </c>
      <c r="E1825" t="s">
        <v>1488</v>
      </c>
      <c r="F1825" t="s">
        <v>1489</v>
      </c>
      <c r="G1825">
        <v>76504</v>
      </c>
      <c r="H1825">
        <v>2010</v>
      </c>
      <c r="I1825" s="1">
        <v>18849.599999999999</v>
      </c>
      <c r="J1825" s="1">
        <v>24480</v>
      </c>
      <c r="K1825" s="1">
        <v>18849.599999999999</v>
      </c>
    </row>
    <row r="1826" spans="1:11" x14ac:dyDescent="0.35">
      <c r="A1826">
        <v>743966</v>
      </c>
      <c r="B1826">
        <v>2040710</v>
      </c>
      <c r="C1826" t="str">
        <f t="shared" si="25"/>
        <v>TEMPLE INDEP SCHOOL DISTRICT</v>
      </c>
      <c r="D1826" t="s">
        <v>11</v>
      </c>
      <c r="E1826" t="s">
        <v>1488</v>
      </c>
      <c r="F1826" t="s">
        <v>1489</v>
      </c>
      <c r="G1826">
        <v>76504</v>
      </c>
      <c r="H1826">
        <v>2010</v>
      </c>
      <c r="I1826" s="1">
        <v>5197.5</v>
      </c>
      <c r="J1826" s="1">
        <v>6750</v>
      </c>
    </row>
    <row r="1827" spans="1:11" x14ac:dyDescent="0.35">
      <c r="A1827">
        <v>743966</v>
      </c>
      <c r="B1827">
        <v>2008519</v>
      </c>
      <c r="C1827" t="str">
        <f t="shared" si="25"/>
        <v>TEMPLE INDEP SCHOOL DISTRICT</v>
      </c>
      <c r="D1827" t="s">
        <v>11</v>
      </c>
      <c r="E1827" t="s">
        <v>1488</v>
      </c>
      <c r="F1827" t="s">
        <v>1489</v>
      </c>
      <c r="G1827">
        <v>76504</v>
      </c>
      <c r="H1827">
        <v>2010</v>
      </c>
      <c r="I1827" s="1">
        <v>24131.18</v>
      </c>
      <c r="J1827" s="1">
        <v>31339.200000000001</v>
      </c>
    </row>
    <row r="1828" spans="1:11" x14ac:dyDescent="0.35">
      <c r="A1828">
        <v>743966</v>
      </c>
      <c r="B1828">
        <v>2008504</v>
      </c>
      <c r="C1828" t="str">
        <f t="shared" si="25"/>
        <v>TEMPLE INDEP SCHOOL DISTRICT</v>
      </c>
      <c r="D1828" t="s">
        <v>11</v>
      </c>
      <c r="E1828" t="s">
        <v>1488</v>
      </c>
      <c r="F1828" t="s">
        <v>1489</v>
      </c>
      <c r="G1828">
        <v>76504</v>
      </c>
      <c r="H1828">
        <v>2010</v>
      </c>
      <c r="I1828" s="1">
        <v>38576.82</v>
      </c>
      <c r="J1828" s="1">
        <v>50099.76</v>
      </c>
      <c r="K1828" s="1">
        <v>24131.18</v>
      </c>
    </row>
    <row r="1829" spans="1:11" x14ac:dyDescent="0.35">
      <c r="A1829">
        <v>743966</v>
      </c>
      <c r="B1829">
        <v>2015064</v>
      </c>
      <c r="C1829" t="str">
        <f t="shared" si="25"/>
        <v>TEMPLE INDEP SCHOOL DISTRICT</v>
      </c>
      <c r="D1829" t="s">
        <v>11</v>
      </c>
      <c r="E1829" t="s">
        <v>1488</v>
      </c>
      <c r="F1829" t="s">
        <v>1489</v>
      </c>
      <c r="G1829">
        <v>76504</v>
      </c>
      <c r="H1829">
        <v>2010</v>
      </c>
      <c r="I1829" s="1">
        <v>5005.03</v>
      </c>
      <c r="J1829" s="1">
        <v>6500.04</v>
      </c>
      <c r="K1829" s="1">
        <v>5005.03</v>
      </c>
    </row>
    <row r="1830" spans="1:11" x14ac:dyDescent="0.35">
      <c r="A1830">
        <v>743966</v>
      </c>
      <c r="B1830">
        <v>2015073</v>
      </c>
      <c r="C1830" t="str">
        <f t="shared" si="25"/>
        <v>TEMPLE INDEP SCHOOL DISTRICT</v>
      </c>
      <c r="D1830" t="s">
        <v>11</v>
      </c>
      <c r="E1830" t="s">
        <v>1488</v>
      </c>
      <c r="F1830" t="s">
        <v>1489</v>
      </c>
      <c r="G1830">
        <v>76504</v>
      </c>
      <c r="H1830">
        <v>2010</v>
      </c>
      <c r="I1830" s="1">
        <v>16632</v>
      </c>
      <c r="J1830" s="1">
        <v>21600</v>
      </c>
      <c r="K1830" s="1">
        <v>16632</v>
      </c>
    </row>
    <row r="1831" spans="1:11" x14ac:dyDescent="0.35">
      <c r="A1831">
        <v>743966</v>
      </c>
      <c r="B1831">
        <v>2015082</v>
      </c>
      <c r="C1831" t="str">
        <f t="shared" si="25"/>
        <v>TEMPLE INDEP SCHOOL DISTRICT</v>
      </c>
      <c r="D1831" t="s">
        <v>11</v>
      </c>
      <c r="E1831" t="s">
        <v>1488</v>
      </c>
      <c r="F1831" t="s">
        <v>1489</v>
      </c>
      <c r="G1831">
        <v>76504</v>
      </c>
      <c r="H1831">
        <v>2010</v>
      </c>
      <c r="I1831" s="1">
        <v>7699.97</v>
      </c>
      <c r="J1831" s="1">
        <v>9999.9599999999991</v>
      </c>
      <c r="K1831" s="1">
        <v>6827.47</v>
      </c>
    </row>
    <row r="1832" spans="1:11" x14ac:dyDescent="0.35">
      <c r="A1832">
        <v>768952</v>
      </c>
      <c r="B1832">
        <v>2080109</v>
      </c>
      <c r="C1832" t="str">
        <f>"TERRELL COUNTY SCHOOL DISTRICT"</f>
        <v>TERRELL COUNTY SCHOOL DISTRICT</v>
      </c>
      <c r="D1832" t="s">
        <v>11</v>
      </c>
      <c r="E1832" t="s">
        <v>1490</v>
      </c>
      <c r="F1832" t="s">
        <v>1491</v>
      </c>
      <c r="G1832">
        <v>79848</v>
      </c>
      <c r="H1832">
        <v>2010</v>
      </c>
      <c r="I1832" s="1">
        <v>19036.84</v>
      </c>
      <c r="J1832" s="1">
        <v>24406.2</v>
      </c>
      <c r="K1832" s="1">
        <v>13512.57</v>
      </c>
    </row>
    <row r="1833" spans="1:11" x14ac:dyDescent="0.35">
      <c r="A1833">
        <v>768888</v>
      </c>
      <c r="B1833">
        <v>2079903</v>
      </c>
      <c r="C1833" t="str">
        <f>"TERRELL COUNTY SCHOOL DISTRICT"</f>
        <v>TERRELL COUNTY SCHOOL DISTRICT</v>
      </c>
      <c r="D1833" t="s">
        <v>11</v>
      </c>
      <c r="E1833" t="s">
        <v>1490</v>
      </c>
      <c r="F1833" t="s">
        <v>1491</v>
      </c>
      <c r="G1833">
        <v>79848</v>
      </c>
      <c r="H1833">
        <v>2010</v>
      </c>
      <c r="I1833" s="1">
        <v>2119.23</v>
      </c>
      <c r="J1833" s="1">
        <v>2716.96</v>
      </c>
      <c r="K1833" s="1">
        <v>2118.48</v>
      </c>
    </row>
    <row r="1834" spans="1:11" x14ac:dyDescent="0.35">
      <c r="A1834">
        <v>746234</v>
      </c>
      <c r="B1834">
        <v>2014199</v>
      </c>
      <c r="C1834" t="str">
        <f>"TEXARKANA INDEP SCHOOL DIST"</f>
        <v>TEXARKANA INDEP SCHOOL DIST</v>
      </c>
      <c r="D1834" t="s">
        <v>11</v>
      </c>
      <c r="E1834" t="s">
        <v>1492</v>
      </c>
      <c r="F1834" t="s">
        <v>1493</v>
      </c>
      <c r="G1834">
        <v>75503</v>
      </c>
      <c r="H1834">
        <v>2010</v>
      </c>
      <c r="I1834" s="1">
        <v>56832</v>
      </c>
      <c r="J1834" s="1">
        <v>76800</v>
      </c>
      <c r="K1834" s="1">
        <v>56832</v>
      </c>
    </row>
    <row r="1835" spans="1:11" x14ac:dyDescent="0.35">
      <c r="A1835">
        <v>729912</v>
      </c>
      <c r="B1835">
        <v>1974520</v>
      </c>
      <c r="C1835" t="str">
        <f>"TEXAS CITY INDEP SCHOOL DIST"</f>
        <v>TEXAS CITY INDEP SCHOOL DIST</v>
      </c>
      <c r="D1835" t="s">
        <v>11</v>
      </c>
      <c r="E1835" t="s">
        <v>1494</v>
      </c>
      <c r="F1835" t="s">
        <v>1495</v>
      </c>
      <c r="G1835">
        <v>77590</v>
      </c>
      <c r="H1835">
        <v>2010</v>
      </c>
      <c r="I1835" s="1">
        <v>17400</v>
      </c>
      <c r="J1835" s="1">
        <v>23200</v>
      </c>
      <c r="K1835" s="1">
        <v>9662.6299999999992</v>
      </c>
    </row>
    <row r="1836" spans="1:11" x14ac:dyDescent="0.35">
      <c r="A1836">
        <v>729912</v>
      </c>
      <c r="B1836">
        <v>1974512</v>
      </c>
      <c r="C1836" t="str">
        <f>"TEXAS CITY INDEP SCHOOL DIST"</f>
        <v>TEXAS CITY INDEP SCHOOL DIST</v>
      </c>
      <c r="D1836" t="s">
        <v>11</v>
      </c>
      <c r="E1836" t="s">
        <v>1494</v>
      </c>
      <c r="F1836" t="s">
        <v>1495</v>
      </c>
      <c r="G1836">
        <v>77590</v>
      </c>
      <c r="H1836">
        <v>2010</v>
      </c>
      <c r="I1836" s="1">
        <v>1131.3900000000001</v>
      </c>
      <c r="J1836" s="1">
        <v>1508.52</v>
      </c>
      <c r="K1836" s="1">
        <v>1131.3900000000001</v>
      </c>
    </row>
    <row r="1837" spans="1:11" x14ac:dyDescent="0.35">
      <c r="A1837">
        <v>724356</v>
      </c>
      <c r="B1837">
        <v>1962285</v>
      </c>
      <c r="C1837" t="str">
        <f>"TEXAS SCHOOL FOR THE BLIND"</f>
        <v>TEXAS SCHOOL FOR THE BLIND</v>
      </c>
      <c r="D1837" t="s">
        <v>11</v>
      </c>
      <c r="E1837" t="s">
        <v>1496</v>
      </c>
      <c r="F1837" t="s">
        <v>83</v>
      </c>
      <c r="G1837">
        <v>78756</v>
      </c>
      <c r="H1837">
        <v>2010</v>
      </c>
      <c r="I1837" s="1">
        <v>7385.04</v>
      </c>
      <c r="J1837" s="1">
        <v>8205.6</v>
      </c>
      <c r="K1837" s="1">
        <v>7385.04</v>
      </c>
    </row>
    <row r="1838" spans="1:11" x14ac:dyDescent="0.35">
      <c r="A1838">
        <v>724124</v>
      </c>
      <c r="B1838">
        <v>1961823</v>
      </c>
      <c r="C1838" t="str">
        <f>"TEXAS SCHOOL FOR THE BLIND"</f>
        <v>TEXAS SCHOOL FOR THE BLIND</v>
      </c>
      <c r="D1838" t="s">
        <v>11</v>
      </c>
      <c r="E1838" t="s">
        <v>1496</v>
      </c>
      <c r="F1838" t="s">
        <v>83</v>
      </c>
      <c r="G1838">
        <v>78756</v>
      </c>
      <c r="H1838">
        <v>2010</v>
      </c>
      <c r="I1838" s="1">
        <v>3844.37</v>
      </c>
      <c r="J1838" s="1">
        <v>4271.5200000000004</v>
      </c>
      <c r="K1838" s="1">
        <v>1286.55</v>
      </c>
    </row>
    <row r="1839" spans="1:11" x14ac:dyDescent="0.35">
      <c r="A1839">
        <v>724265</v>
      </c>
      <c r="B1839">
        <v>1962088</v>
      </c>
      <c r="C1839" t="str">
        <f>"TEXAS SCHOOL FOR THE BLIND"</f>
        <v>TEXAS SCHOOL FOR THE BLIND</v>
      </c>
      <c r="D1839" t="s">
        <v>11</v>
      </c>
      <c r="E1839" t="s">
        <v>1496</v>
      </c>
      <c r="F1839" t="s">
        <v>83</v>
      </c>
      <c r="G1839">
        <v>78756</v>
      </c>
      <c r="H1839">
        <v>2010</v>
      </c>
      <c r="I1839" s="1">
        <v>12960</v>
      </c>
      <c r="J1839" s="1">
        <v>14400</v>
      </c>
      <c r="K1839" s="1">
        <v>12960</v>
      </c>
    </row>
    <row r="1840" spans="1:11" x14ac:dyDescent="0.35">
      <c r="A1840">
        <v>740697</v>
      </c>
      <c r="B1840">
        <v>2000244</v>
      </c>
      <c r="C1840" t="str">
        <f>"TEXAS SCHOOL FOR THE DEAF"</f>
        <v>TEXAS SCHOOL FOR THE DEAF</v>
      </c>
      <c r="D1840" t="s">
        <v>11</v>
      </c>
      <c r="E1840" t="s">
        <v>1497</v>
      </c>
      <c r="F1840" t="s">
        <v>83</v>
      </c>
      <c r="G1840">
        <v>78704</v>
      </c>
      <c r="H1840">
        <v>2010</v>
      </c>
      <c r="I1840" s="1">
        <v>11880</v>
      </c>
      <c r="J1840" s="1">
        <v>13200</v>
      </c>
      <c r="K1840" s="1">
        <v>9774</v>
      </c>
    </row>
    <row r="1841" spans="1:11" x14ac:dyDescent="0.35">
      <c r="A1841">
        <v>739526</v>
      </c>
      <c r="B1841">
        <v>1997470</v>
      </c>
      <c r="C1841" t="str">
        <f>"TEXAS SCHOOL FOR THE DEAF"</f>
        <v>TEXAS SCHOOL FOR THE DEAF</v>
      </c>
      <c r="D1841" t="s">
        <v>11</v>
      </c>
      <c r="E1841" t="s">
        <v>1497</v>
      </c>
      <c r="F1841" t="s">
        <v>83</v>
      </c>
      <c r="G1841">
        <v>78704</v>
      </c>
      <c r="H1841">
        <v>2010</v>
      </c>
      <c r="I1841" s="1">
        <v>34526.519999999997</v>
      </c>
      <c r="J1841" s="1">
        <v>38362.800000000003</v>
      </c>
      <c r="K1841" s="1">
        <v>21674.52</v>
      </c>
    </row>
    <row r="1842" spans="1:11" x14ac:dyDescent="0.35">
      <c r="A1842">
        <v>732346</v>
      </c>
      <c r="B1842">
        <v>1980431</v>
      </c>
      <c r="C1842" t="str">
        <f>"TEXHOMA INDEPENDENT SCH DIST"</f>
        <v>TEXHOMA INDEPENDENT SCH DIST</v>
      </c>
      <c r="D1842" t="s">
        <v>11</v>
      </c>
      <c r="E1842" t="s">
        <v>1498</v>
      </c>
      <c r="F1842" t="s">
        <v>1499</v>
      </c>
      <c r="G1842">
        <v>73949</v>
      </c>
      <c r="H1842">
        <v>2010</v>
      </c>
      <c r="I1842" s="1">
        <v>0</v>
      </c>
      <c r="J1842" s="1">
        <v>0</v>
      </c>
    </row>
    <row r="1843" spans="1:11" x14ac:dyDescent="0.35">
      <c r="A1843">
        <v>732346</v>
      </c>
      <c r="B1843">
        <v>1980425</v>
      </c>
      <c r="C1843" t="str">
        <f>"TEXHOMA INDEPENDENT SCH DIST"</f>
        <v>TEXHOMA INDEPENDENT SCH DIST</v>
      </c>
      <c r="D1843" t="s">
        <v>11</v>
      </c>
      <c r="E1843" t="s">
        <v>1498</v>
      </c>
      <c r="F1843" t="s">
        <v>1499</v>
      </c>
      <c r="G1843">
        <v>73949</v>
      </c>
      <c r="H1843">
        <v>2010</v>
      </c>
      <c r="I1843" s="1">
        <v>5359.97</v>
      </c>
      <c r="J1843" s="1">
        <v>6699.96</v>
      </c>
      <c r="K1843" s="1">
        <v>5359.97</v>
      </c>
    </row>
    <row r="1844" spans="1:11" x14ac:dyDescent="0.35">
      <c r="A1844">
        <v>746730</v>
      </c>
      <c r="B1844">
        <v>2015779</v>
      </c>
      <c r="C1844" t="str">
        <f>"TEXLINE INDEP SCHOOL DISTRICT"</f>
        <v>TEXLINE INDEP SCHOOL DISTRICT</v>
      </c>
      <c r="D1844" t="s">
        <v>11</v>
      </c>
      <c r="E1844" t="s">
        <v>1500</v>
      </c>
      <c r="F1844" t="s">
        <v>1501</v>
      </c>
      <c r="G1844">
        <v>79087</v>
      </c>
      <c r="H1844">
        <v>2010</v>
      </c>
      <c r="I1844" s="1">
        <v>14512</v>
      </c>
      <c r="J1844" s="1">
        <v>18140</v>
      </c>
      <c r="K1844" s="1">
        <v>14112</v>
      </c>
    </row>
    <row r="1845" spans="1:11" x14ac:dyDescent="0.35">
      <c r="A1845">
        <v>746896</v>
      </c>
      <c r="B1845">
        <v>2016167</v>
      </c>
      <c r="C1845" t="str">
        <f>"TEXLINE INDEP SCHOOL DISTRICT"</f>
        <v>TEXLINE INDEP SCHOOL DISTRICT</v>
      </c>
      <c r="D1845" t="s">
        <v>11</v>
      </c>
      <c r="E1845" t="s">
        <v>1500</v>
      </c>
      <c r="F1845" t="s">
        <v>1501</v>
      </c>
      <c r="G1845">
        <v>79087</v>
      </c>
      <c r="H1845">
        <v>2010</v>
      </c>
      <c r="I1845" s="1">
        <v>5920</v>
      </c>
      <c r="J1845" s="1">
        <v>7400</v>
      </c>
      <c r="K1845" s="1">
        <v>5920</v>
      </c>
    </row>
    <row r="1846" spans="1:11" x14ac:dyDescent="0.35">
      <c r="A1846">
        <v>746839</v>
      </c>
      <c r="B1846">
        <v>2016027</v>
      </c>
      <c r="C1846" t="str">
        <f>"TEXLINE INDEP SCHOOL DISTRICT"</f>
        <v>TEXLINE INDEP SCHOOL DISTRICT</v>
      </c>
      <c r="D1846" t="s">
        <v>11</v>
      </c>
      <c r="E1846" t="s">
        <v>1500</v>
      </c>
      <c r="F1846" t="s">
        <v>1501</v>
      </c>
      <c r="G1846">
        <v>79087</v>
      </c>
      <c r="H1846">
        <v>2010</v>
      </c>
      <c r="I1846" s="1">
        <v>0</v>
      </c>
      <c r="J1846" s="1">
        <v>0</v>
      </c>
    </row>
    <row r="1847" spans="1:11" x14ac:dyDescent="0.35">
      <c r="A1847">
        <v>768776</v>
      </c>
      <c r="B1847">
        <v>2079518</v>
      </c>
      <c r="C1847" t="str">
        <f>"THRALL INDEP SCHOOL DISTRICT"</f>
        <v>THRALL INDEP SCHOOL DISTRICT</v>
      </c>
      <c r="D1847" t="s">
        <v>11</v>
      </c>
      <c r="E1847" t="s">
        <v>1502</v>
      </c>
      <c r="F1847" t="s">
        <v>1503</v>
      </c>
      <c r="G1847">
        <v>76578</v>
      </c>
      <c r="H1847">
        <v>2010</v>
      </c>
      <c r="I1847" s="1">
        <v>2316.6</v>
      </c>
      <c r="J1847" s="1">
        <v>4290</v>
      </c>
      <c r="K1847" s="1">
        <v>2316.6</v>
      </c>
    </row>
    <row r="1848" spans="1:11" x14ac:dyDescent="0.35">
      <c r="A1848">
        <v>766707</v>
      </c>
      <c r="B1848">
        <v>2073040</v>
      </c>
      <c r="C1848" t="str">
        <f>"THRALL INDEP SCHOOL DISTRICT"</f>
        <v>THRALL INDEP SCHOOL DISTRICT</v>
      </c>
      <c r="D1848" t="s">
        <v>11</v>
      </c>
      <c r="E1848" t="s">
        <v>1502</v>
      </c>
      <c r="F1848" t="s">
        <v>1503</v>
      </c>
      <c r="G1848">
        <v>76578</v>
      </c>
      <c r="H1848">
        <v>2010</v>
      </c>
      <c r="I1848" s="1">
        <v>11815.2</v>
      </c>
      <c r="J1848" s="1">
        <v>21880</v>
      </c>
      <c r="K1848" s="1">
        <v>8553.6</v>
      </c>
    </row>
    <row r="1849" spans="1:11" x14ac:dyDescent="0.35">
      <c r="A1849">
        <v>731027</v>
      </c>
      <c r="B1849">
        <v>1977103</v>
      </c>
      <c r="C1849" t="str">
        <f>"THREE RIVERS SCHOOL DISTRICT"</f>
        <v>THREE RIVERS SCHOOL DISTRICT</v>
      </c>
      <c r="D1849" t="s">
        <v>11</v>
      </c>
      <c r="E1849" t="s">
        <v>1504</v>
      </c>
      <c r="F1849" t="s">
        <v>1505</v>
      </c>
      <c r="G1849">
        <v>78071</v>
      </c>
      <c r="H1849">
        <v>2010</v>
      </c>
      <c r="I1849" s="1">
        <v>11853.09</v>
      </c>
      <c r="J1849" s="1">
        <v>15804.12</v>
      </c>
      <c r="K1849" s="1">
        <v>11853.09</v>
      </c>
    </row>
    <row r="1850" spans="1:11" x14ac:dyDescent="0.35">
      <c r="A1850">
        <v>729407</v>
      </c>
      <c r="B1850">
        <v>2064020</v>
      </c>
      <c r="C1850" t="str">
        <f t="shared" ref="C1850:C1855" si="26">"THREE WAY INDEP SCHOOL DIST"</f>
        <v>THREE WAY INDEP SCHOOL DIST</v>
      </c>
      <c r="D1850" t="s">
        <v>11</v>
      </c>
      <c r="E1850" t="s">
        <v>1506</v>
      </c>
      <c r="F1850" t="s">
        <v>719</v>
      </c>
      <c r="G1850">
        <v>76401</v>
      </c>
      <c r="H1850">
        <v>2010</v>
      </c>
      <c r="I1850" s="1">
        <v>131.4</v>
      </c>
      <c r="J1850" s="1">
        <v>146</v>
      </c>
      <c r="K1850" s="1">
        <v>131.4</v>
      </c>
    </row>
    <row r="1851" spans="1:11" x14ac:dyDescent="0.35">
      <c r="A1851">
        <v>729407</v>
      </c>
      <c r="B1851">
        <v>1973580</v>
      </c>
      <c r="C1851" t="str">
        <f t="shared" si="26"/>
        <v>THREE WAY INDEP SCHOOL DIST</v>
      </c>
      <c r="D1851" t="s">
        <v>11</v>
      </c>
      <c r="E1851" t="s">
        <v>1506</v>
      </c>
      <c r="F1851" t="s">
        <v>719</v>
      </c>
      <c r="G1851">
        <v>76401</v>
      </c>
      <c r="H1851">
        <v>2010</v>
      </c>
      <c r="I1851" s="1">
        <v>1039.5</v>
      </c>
      <c r="J1851" s="1">
        <v>1155</v>
      </c>
      <c r="K1851" s="1">
        <v>1039.5</v>
      </c>
    </row>
    <row r="1852" spans="1:11" x14ac:dyDescent="0.35">
      <c r="A1852">
        <v>729407</v>
      </c>
      <c r="B1852">
        <v>2063913</v>
      </c>
      <c r="C1852" t="str">
        <f t="shared" si="26"/>
        <v>THREE WAY INDEP SCHOOL DIST</v>
      </c>
      <c r="D1852" t="s">
        <v>11</v>
      </c>
      <c r="E1852" t="s">
        <v>1506</v>
      </c>
      <c r="F1852" t="s">
        <v>719</v>
      </c>
      <c r="G1852">
        <v>76401</v>
      </c>
      <c r="H1852">
        <v>2010</v>
      </c>
      <c r="I1852" s="1">
        <v>3240</v>
      </c>
      <c r="J1852" s="1">
        <v>3600</v>
      </c>
      <c r="K1852" s="1">
        <v>3240</v>
      </c>
    </row>
    <row r="1853" spans="1:11" x14ac:dyDescent="0.35">
      <c r="A1853">
        <v>729407</v>
      </c>
      <c r="B1853">
        <v>2063940</v>
      </c>
      <c r="C1853" t="str">
        <f t="shared" si="26"/>
        <v>THREE WAY INDEP SCHOOL DIST</v>
      </c>
      <c r="D1853" t="s">
        <v>11</v>
      </c>
      <c r="E1853" t="s">
        <v>1506</v>
      </c>
      <c r="F1853" t="s">
        <v>719</v>
      </c>
      <c r="G1853">
        <v>76401</v>
      </c>
      <c r="H1853">
        <v>2010</v>
      </c>
      <c r="I1853" s="1">
        <v>1798.97</v>
      </c>
      <c r="J1853" s="1">
        <v>1998.85</v>
      </c>
      <c r="K1853" s="1">
        <v>1798.97</v>
      </c>
    </row>
    <row r="1854" spans="1:11" x14ac:dyDescent="0.35">
      <c r="A1854">
        <v>754162</v>
      </c>
      <c r="B1854">
        <v>2051412</v>
      </c>
      <c r="C1854" t="str">
        <f t="shared" si="26"/>
        <v>THREE WAY INDEP SCHOOL DIST</v>
      </c>
      <c r="D1854" t="s">
        <v>11</v>
      </c>
      <c r="E1854" t="s">
        <v>1506</v>
      </c>
      <c r="F1854" t="s">
        <v>719</v>
      </c>
      <c r="G1854">
        <v>76401</v>
      </c>
      <c r="H1854">
        <v>2010</v>
      </c>
      <c r="I1854" s="1">
        <v>11880</v>
      </c>
      <c r="J1854" s="1">
        <v>13200</v>
      </c>
      <c r="K1854" s="1">
        <v>11880</v>
      </c>
    </row>
    <row r="1855" spans="1:11" x14ac:dyDescent="0.35">
      <c r="A1855">
        <v>729407</v>
      </c>
      <c r="B1855">
        <v>1973676</v>
      </c>
      <c r="C1855" t="str">
        <f t="shared" si="26"/>
        <v>THREE WAY INDEP SCHOOL DIST</v>
      </c>
      <c r="D1855" t="s">
        <v>11</v>
      </c>
      <c r="E1855" t="s">
        <v>1506</v>
      </c>
      <c r="F1855" t="s">
        <v>719</v>
      </c>
      <c r="G1855">
        <v>76401</v>
      </c>
      <c r="H1855">
        <v>2010</v>
      </c>
      <c r="I1855" s="1">
        <v>1080</v>
      </c>
      <c r="J1855" s="1">
        <v>1200</v>
      </c>
      <c r="K1855" s="1">
        <v>1080</v>
      </c>
    </row>
    <row r="1856" spans="1:11" x14ac:dyDescent="0.35">
      <c r="A1856">
        <v>724502</v>
      </c>
      <c r="B1856">
        <v>1996088</v>
      </c>
      <c r="C1856" t="str">
        <f>"THROCKMORTON SCHOOL DISTRICT"</f>
        <v>THROCKMORTON SCHOOL DISTRICT</v>
      </c>
      <c r="D1856" t="s">
        <v>11</v>
      </c>
      <c r="E1856" t="s">
        <v>1507</v>
      </c>
      <c r="F1856" t="s">
        <v>1508</v>
      </c>
      <c r="G1856">
        <v>76483</v>
      </c>
      <c r="H1856">
        <v>2010</v>
      </c>
      <c r="I1856" s="1">
        <v>663.48</v>
      </c>
      <c r="J1856" s="1">
        <v>829.35</v>
      </c>
      <c r="K1856" s="1">
        <v>663.48</v>
      </c>
    </row>
    <row r="1857" spans="1:11" x14ac:dyDescent="0.35">
      <c r="A1857">
        <v>724502</v>
      </c>
      <c r="B1857">
        <v>1996105</v>
      </c>
      <c r="C1857" t="str">
        <f>"THROCKMORTON SCHOOL DISTRICT"</f>
        <v>THROCKMORTON SCHOOL DISTRICT</v>
      </c>
      <c r="D1857" t="s">
        <v>11</v>
      </c>
      <c r="E1857" t="s">
        <v>1507</v>
      </c>
      <c r="F1857" t="s">
        <v>1508</v>
      </c>
      <c r="G1857">
        <v>76483</v>
      </c>
      <c r="H1857">
        <v>2010</v>
      </c>
      <c r="I1857" s="1">
        <v>6632.64</v>
      </c>
      <c r="J1857" s="1">
        <v>8290.7999999999993</v>
      </c>
      <c r="K1857" s="1">
        <v>6632.64</v>
      </c>
    </row>
    <row r="1858" spans="1:11" x14ac:dyDescent="0.35">
      <c r="A1858">
        <v>724378</v>
      </c>
      <c r="B1858">
        <v>1962384</v>
      </c>
      <c r="C1858" t="str">
        <f>"TIDEHAVEN ISD"</f>
        <v>TIDEHAVEN ISD</v>
      </c>
      <c r="D1858" t="s">
        <v>11</v>
      </c>
      <c r="E1858" t="s">
        <v>1509</v>
      </c>
      <c r="F1858" t="s">
        <v>1510</v>
      </c>
      <c r="G1858">
        <v>77440</v>
      </c>
      <c r="H1858">
        <v>2010</v>
      </c>
      <c r="I1858" s="1">
        <v>1154.53</v>
      </c>
      <c r="J1858" s="1">
        <v>1407.96</v>
      </c>
      <c r="K1858" s="1">
        <v>885.6</v>
      </c>
    </row>
    <row r="1859" spans="1:11" x14ac:dyDescent="0.35">
      <c r="A1859">
        <v>724378</v>
      </c>
      <c r="B1859">
        <v>1962402</v>
      </c>
      <c r="C1859" t="str">
        <f>"TIDEHAVEN ISD"</f>
        <v>TIDEHAVEN ISD</v>
      </c>
      <c r="D1859" t="s">
        <v>11</v>
      </c>
      <c r="E1859" t="s">
        <v>1509</v>
      </c>
      <c r="F1859" t="s">
        <v>1510</v>
      </c>
      <c r="G1859">
        <v>77440</v>
      </c>
      <c r="H1859">
        <v>2010</v>
      </c>
      <c r="I1859" s="1">
        <v>1551.37</v>
      </c>
      <c r="J1859" s="1">
        <v>1891.92</v>
      </c>
    </row>
    <row r="1860" spans="1:11" x14ac:dyDescent="0.35">
      <c r="A1860">
        <v>724378</v>
      </c>
      <c r="B1860">
        <v>1962388</v>
      </c>
      <c r="C1860" t="str">
        <f>"TIDEHAVEN ISD"</f>
        <v>TIDEHAVEN ISD</v>
      </c>
      <c r="D1860" t="s">
        <v>11</v>
      </c>
      <c r="E1860" t="s">
        <v>1509</v>
      </c>
      <c r="F1860" t="s">
        <v>1510</v>
      </c>
      <c r="G1860">
        <v>77440</v>
      </c>
      <c r="H1860">
        <v>2010</v>
      </c>
      <c r="I1860" s="1">
        <v>204.97</v>
      </c>
      <c r="J1860" s="1">
        <v>249.96</v>
      </c>
      <c r="K1860" s="1">
        <v>170.83</v>
      </c>
    </row>
    <row r="1861" spans="1:11" x14ac:dyDescent="0.35">
      <c r="A1861">
        <v>724378</v>
      </c>
      <c r="B1861">
        <v>1962378</v>
      </c>
      <c r="C1861" t="str">
        <f>"TIDEHAVEN ISD"</f>
        <v>TIDEHAVEN ISD</v>
      </c>
      <c r="D1861" t="s">
        <v>11</v>
      </c>
      <c r="E1861" t="s">
        <v>1509</v>
      </c>
      <c r="F1861" t="s">
        <v>1510</v>
      </c>
      <c r="G1861">
        <v>77440</v>
      </c>
      <c r="H1861">
        <v>2010</v>
      </c>
      <c r="I1861" s="1">
        <v>14317.2</v>
      </c>
      <c r="J1861" s="1">
        <v>17460</v>
      </c>
      <c r="K1861" s="1">
        <v>12471</v>
      </c>
    </row>
    <row r="1862" spans="1:11" x14ac:dyDescent="0.35">
      <c r="A1862">
        <v>725402</v>
      </c>
      <c r="B1862">
        <v>1964173</v>
      </c>
      <c r="C1862" t="str">
        <f>"TIMPSON INDEP SCHOOL DISTRICT"</f>
        <v>TIMPSON INDEP SCHOOL DISTRICT</v>
      </c>
      <c r="D1862" t="s">
        <v>11</v>
      </c>
      <c r="E1862" t="s">
        <v>1511</v>
      </c>
      <c r="F1862" t="s">
        <v>1512</v>
      </c>
      <c r="G1862">
        <v>75975</v>
      </c>
      <c r="H1862">
        <v>2010</v>
      </c>
      <c r="I1862" s="1">
        <v>16385.28</v>
      </c>
      <c r="J1862" s="1">
        <v>20481.599999999999</v>
      </c>
      <c r="K1862" s="1">
        <v>7873.32</v>
      </c>
    </row>
    <row r="1863" spans="1:11" x14ac:dyDescent="0.35">
      <c r="A1863">
        <v>725402</v>
      </c>
      <c r="B1863">
        <v>1964164</v>
      </c>
      <c r="C1863" t="str">
        <f>"TIMPSON INDEP SCHOOL DISTRICT"</f>
        <v>TIMPSON INDEP SCHOOL DISTRICT</v>
      </c>
      <c r="D1863" t="s">
        <v>11</v>
      </c>
      <c r="E1863" t="s">
        <v>1511</v>
      </c>
      <c r="F1863" t="s">
        <v>1512</v>
      </c>
      <c r="G1863">
        <v>75975</v>
      </c>
      <c r="H1863">
        <v>2010</v>
      </c>
      <c r="I1863" s="1">
        <v>2964</v>
      </c>
      <c r="J1863" s="1">
        <v>3705</v>
      </c>
      <c r="K1863" s="1">
        <v>2964</v>
      </c>
    </row>
    <row r="1864" spans="1:11" x14ac:dyDescent="0.35">
      <c r="A1864">
        <v>741425</v>
      </c>
      <c r="B1864">
        <v>2002045</v>
      </c>
      <c r="C1864" t="str">
        <f>"TOLAR INDEP SCHOOL DISTRICT"</f>
        <v>TOLAR INDEP SCHOOL DISTRICT</v>
      </c>
      <c r="D1864" t="s">
        <v>11</v>
      </c>
      <c r="E1864" t="s">
        <v>1513</v>
      </c>
      <c r="F1864" t="s">
        <v>1514</v>
      </c>
      <c r="G1864">
        <v>76476</v>
      </c>
      <c r="H1864">
        <v>2010</v>
      </c>
      <c r="I1864" s="1">
        <v>539.98</v>
      </c>
      <c r="J1864" s="1">
        <v>999.96</v>
      </c>
      <c r="K1864" s="1">
        <v>539.98</v>
      </c>
    </row>
    <row r="1865" spans="1:11" x14ac:dyDescent="0.35">
      <c r="A1865">
        <v>741425</v>
      </c>
      <c r="B1865">
        <v>2002018</v>
      </c>
      <c r="C1865" t="str">
        <f>"TOLAR INDEP SCHOOL DISTRICT"</f>
        <v>TOLAR INDEP SCHOOL DISTRICT</v>
      </c>
      <c r="D1865" t="s">
        <v>11</v>
      </c>
      <c r="E1865" t="s">
        <v>1513</v>
      </c>
      <c r="F1865" t="s">
        <v>1514</v>
      </c>
      <c r="G1865">
        <v>76476</v>
      </c>
      <c r="H1865">
        <v>2010</v>
      </c>
      <c r="I1865" s="1">
        <v>1166.4000000000001</v>
      </c>
      <c r="J1865" s="1">
        <v>2160</v>
      </c>
      <c r="K1865" s="1">
        <v>1166</v>
      </c>
    </row>
    <row r="1866" spans="1:11" x14ac:dyDescent="0.35">
      <c r="A1866">
        <v>741425</v>
      </c>
      <c r="B1866">
        <v>2002068</v>
      </c>
      <c r="C1866" t="str">
        <f>"TOLAR INDEP SCHOOL DISTRICT"</f>
        <v>TOLAR INDEP SCHOOL DISTRICT</v>
      </c>
      <c r="D1866" t="s">
        <v>11</v>
      </c>
      <c r="E1866" t="s">
        <v>1513</v>
      </c>
      <c r="F1866" t="s">
        <v>1514</v>
      </c>
      <c r="G1866">
        <v>76476</v>
      </c>
      <c r="H1866">
        <v>2010</v>
      </c>
      <c r="I1866" s="1">
        <v>531.36</v>
      </c>
      <c r="J1866" s="1">
        <v>984</v>
      </c>
      <c r="K1866" s="1">
        <v>531</v>
      </c>
    </row>
    <row r="1867" spans="1:11" x14ac:dyDescent="0.35">
      <c r="A1867">
        <v>714021</v>
      </c>
      <c r="B1867">
        <v>1944174</v>
      </c>
      <c r="C1867" t="str">
        <f>"TOMBALL INDEP SCHOOL DISTRICT"</f>
        <v>TOMBALL INDEP SCHOOL DISTRICT</v>
      </c>
      <c r="D1867" t="s">
        <v>11</v>
      </c>
      <c r="E1867" t="s">
        <v>1515</v>
      </c>
      <c r="F1867" t="s">
        <v>1516</v>
      </c>
      <c r="G1867">
        <v>77375</v>
      </c>
      <c r="H1867">
        <v>2010</v>
      </c>
      <c r="I1867" s="1">
        <v>16920</v>
      </c>
      <c r="J1867" s="1">
        <v>36000</v>
      </c>
      <c r="K1867" s="1">
        <v>16920</v>
      </c>
    </row>
    <row r="1868" spans="1:11" x14ac:dyDescent="0.35">
      <c r="A1868">
        <v>704135</v>
      </c>
      <c r="B1868">
        <v>1933444</v>
      </c>
      <c r="C1868" t="str">
        <f>"TORNILLO INDEP SCHOOL DISTRICT"</f>
        <v>TORNILLO INDEP SCHOOL DISTRICT</v>
      </c>
      <c r="D1868" t="s">
        <v>11</v>
      </c>
      <c r="E1868" t="s">
        <v>1517</v>
      </c>
      <c r="F1868" t="s">
        <v>1518</v>
      </c>
      <c r="G1868">
        <v>79853</v>
      </c>
      <c r="H1868">
        <v>2010</v>
      </c>
      <c r="I1868" s="1">
        <v>3823.2</v>
      </c>
      <c r="J1868" s="1">
        <v>4248</v>
      </c>
      <c r="K1868" s="1">
        <v>3823.2</v>
      </c>
    </row>
    <row r="1869" spans="1:11" x14ac:dyDescent="0.35">
      <c r="A1869">
        <v>704135</v>
      </c>
      <c r="B1869">
        <v>1933441</v>
      </c>
      <c r="C1869" t="str">
        <f>"TORNILLO INDEP SCHOOL DISTRICT"</f>
        <v>TORNILLO INDEP SCHOOL DISTRICT</v>
      </c>
      <c r="D1869" t="s">
        <v>11</v>
      </c>
      <c r="E1869" t="s">
        <v>1517</v>
      </c>
      <c r="F1869" t="s">
        <v>1518</v>
      </c>
      <c r="G1869">
        <v>79853</v>
      </c>
      <c r="H1869">
        <v>2010</v>
      </c>
      <c r="I1869" s="1">
        <v>133716.6</v>
      </c>
      <c r="J1869" s="1">
        <v>148574</v>
      </c>
      <c r="K1869" s="1">
        <v>133716.6</v>
      </c>
    </row>
    <row r="1870" spans="1:11" x14ac:dyDescent="0.35">
      <c r="A1870">
        <v>729805</v>
      </c>
      <c r="B1870">
        <v>1974272</v>
      </c>
      <c r="C1870" t="str">
        <f>"TRANSFORMATIVE  CHARTER ACADEMY"</f>
        <v>TRANSFORMATIVE  CHARTER ACADEMY</v>
      </c>
      <c r="D1870" t="s">
        <v>11</v>
      </c>
      <c r="E1870" t="s">
        <v>1519</v>
      </c>
      <c r="F1870" t="s">
        <v>812</v>
      </c>
      <c r="G1870">
        <v>76541</v>
      </c>
      <c r="H1870">
        <v>2010</v>
      </c>
      <c r="I1870" s="1">
        <v>659.6</v>
      </c>
      <c r="J1870" s="1">
        <v>824.5</v>
      </c>
      <c r="K1870" s="1">
        <v>659.6</v>
      </c>
    </row>
    <row r="1871" spans="1:11" x14ac:dyDescent="0.35">
      <c r="A1871">
        <v>729805</v>
      </c>
      <c r="B1871">
        <v>1992242</v>
      </c>
      <c r="C1871" t="str">
        <f>"TRANSFORMATIVE  CHARTER ACADEMY"</f>
        <v>TRANSFORMATIVE  CHARTER ACADEMY</v>
      </c>
      <c r="D1871" t="s">
        <v>11</v>
      </c>
      <c r="E1871" t="s">
        <v>1519</v>
      </c>
      <c r="F1871" t="s">
        <v>812</v>
      </c>
      <c r="G1871">
        <v>76541</v>
      </c>
      <c r="H1871">
        <v>2010</v>
      </c>
      <c r="I1871" s="1">
        <v>11184</v>
      </c>
      <c r="J1871" s="1">
        <v>13980</v>
      </c>
      <c r="K1871" s="1">
        <v>11184</v>
      </c>
    </row>
    <row r="1872" spans="1:11" x14ac:dyDescent="0.35">
      <c r="A1872">
        <v>720047</v>
      </c>
      <c r="B1872">
        <v>1983937</v>
      </c>
      <c r="C1872" t="str">
        <f>"TRENTON INDEP SCHOOL DISTRICT"</f>
        <v>TRENTON INDEP SCHOOL DISTRICT</v>
      </c>
      <c r="D1872" t="s">
        <v>11</v>
      </c>
      <c r="E1872" t="s">
        <v>1520</v>
      </c>
      <c r="F1872" t="s">
        <v>1521</v>
      </c>
      <c r="G1872">
        <v>75490</v>
      </c>
      <c r="H1872">
        <v>2010</v>
      </c>
      <c r="I1872" s="1">
        <v>0</v>
      </c>
      <c r="J1872" s="1">
        <v>0</v>
      </c>
    </row>
    <row r="1873" spans="1:11" x14ac:dyDescent="0.35">
      <c r="A1873">
        <v>754624</v>
      </c>
      <c r="B1873">
        <v>2039625</v>
      </c>
      <c r="C1873" t="str">
        <f>"TRINITY INDEP SCHOOL DISTRICT"</f>
        <v>TRINITY INDEP SCHOOL DISTRICT</v>
      </c>
      <c r="D1873" t="s">
        <v>11</v>
      </c>
      <c r="E1873" t="s">
        <v>1522</v>
      </c>
      <c r="F1873" t="s">
        <v>1523</v>
      </c>
      <c r="G1873">
        <v>75862</v>
      </c>
      <c r="H1873">
        <v>2010</v>
      </c>
      <c r="I1873" s="1">
        <v>4101.96</v>
      </c>
      <c r="J1873" s="1">
        <v>5064.1499999999996</v>
      </c>
      <c r="K1873" s="1">
        <v>4101.96</v>
      </c>
    </row>
    <row r="1874" spans="1:11" x14ac:dyDescent="0.35">
      <c r="A1874">
        <v>754624</v>
      </c>
      <c r="B1874">
        <v>2039580</v>
      </c>
      <c r="C1874" t="str">
        <f>"TRINITY INDEP SCHOOL DISTRICT"</f>
        <v>TRINITY INDEP SCHOOL DISTRICT</v>
      </c>
      <c r="D1874" t="s">
        <v>11</v>
      </c>
      <c r="E1874" t="s">
        <v>1522</v>
      </c>
      <c r="F1874" t="s">
        <v>1523</v>
      </c>
      <c r="G1874">
        <v>75862</v>
      </c>
      <c r="H1874">
        <v>2010</v>
      </c>
      <c r="I1874" s="1">
        <v>14456.46</v>
      </c>
      <c r="J1874" s="1">
        <v>17847.48</v>
      </c>
      <c r="K1874" s="1">
        <v>14456.46</v>
      </c>
    </row>
    <row r="1875" spans="1:11" x14ac:dyDescent="0.35">
      <c r="A1875">
        <v>754624</v>
      </c>
      <c r="B1875">
        <v>2039488</v>
      </c>
      <c r="C1875" t="str">
        <f>"TRINITY INDEP SCHOOL DISTRICT"</f>
        <v>TRINITY INDEP SCHOOL DISTRICT</v>
      </c>
      <c r="D1875" t="s">
        <v>11</v>
      </c>
      <c r="E1875" t="s">
        <v>1522</v>
      </c>
      <c r="F1875" t="s">
        <v>1523</v>
      </c>
      <c r="G1875">
        <v>75862</v>
      </c>
      <c r="H1875">
        <v>2010</v>
      </c>
      <c r="I1875" s="1">
        <v>7614</v>
      </c>
      <c r="J1875" s="1">
        <v>9400</v>
      </c>
      <c r="K1875" s="1">
        <v>7614</v>
      </c>
    </row>
    <row r="1876" spans="1:11" x14ac:dyDescent="0.35">
      <c r="A1876">
        <v>724070</v>
      </c>
      <c r="B1876">
        <v>1961801</v>
      </c>
      <c r="C1876" t="str">
        <f>"TROUP INDEP SCHOOL DISTRICT"</f>
        <v>TROUP INDEP SCHOOL DISTRICT</v>
      </c>
      <c r="D1876" t="s">
        <v>11</v>
      </c>
      <c r="E1876" t="s">
        <v>1524</v>
      </c>
      <c r="F1876" t="s">
        <v>1525</v>
      </c>
      <c r="G1876">
        <v>75789</v>
      </c>
      <c r="H1876">
        <v>2010</v>
      </c>
      <c r="I1876" s="1">
        <v>13940.55</v>
      </c>
      <c r="J1876" s="1">
        <v>18587.400000000001</v>
      </c>
      <c r="K1876" s="1">
        <v>12618</v>
      </c>
    </row>
    <row r="1877" spans="1:11" x14ac:dyDescent="0.35">
      <c r="A1877">
        <v>723439</v>
      </c>
      <c r="B1877">
        <v>1960797</v>
      </c>
      <c r="C1877" t="str">
        <f>"TROUP INDEP SCHOOL DISTRICT"</f>
        <v>TROUP INDEP SCHOOL DISTRICT</v>
      </c>
      <c r="D1877" t="s">
        <v>11</v>
      </c>
      <c r="E1877" t="s">
        <v>1524</v>
      </c>
      <c r="F1877" t="s">
        <v>1525</v>
      </c>
      <c r="G1877">
        <v>75789</v>
      </c>
      <c r="H1877">
        <v>2010</v>
      </c>
      <c r="I1877" s="1">
        <v>1546.88</v>
      </c>
      <c r="J1877" s="1">
        <v>2062.5</v>
      </c>
      <c r="K1877" s="1">
        <v>1546.88</v>
      </c>
    </row>
    <row r="1878" spans="1:11" x14ac:dyDescent="0.35">
      <c r="A1878">
        <v>723803</v>
      </c>
      <c r="B1878">
        <v>1961368</v>
      </c>
      <c r="C1878" t="str">
        <f>"TROUP INDEP SCHOOL DISTRICT"</f>
        <v>TROUP INDEP SCHOOL DISTRICT</v>
      </c>
      <c r="D1878" t="s">
        <v>11</v>
      </c>
      <c r="E1878" t="s">
        <v>1524</v>
      </c>
      <c r="F1878" t="s">
        <v>1525</v>
      </c>
      <c r="G1878">
        <v>75789</v>
      </c>
      <c r="H1878">
        <v>2010</v>
      </c>
      <c r="I1878" s="1">
        <v>6300</v>
      </c>
      <c r="J1878" s="1">
        <v>8400</v>
      </c>
      <c r="K1878" s="1">
        <v>6300</v>
      </c>
    </row>
    <row r="1879" spans="1:11" x14ac:dyDescent="0.35">
      <c r="A1879">
        <v>719656</v>
      </c>
      <c r="B1879">
        <v>1953594</v>
      </c>
      <c r="C1879" t="str">
        <f>"TROY INDEP SCHOOL DISTRICT"</f>
        <v>TROY INDEP SCHOOL DISTRICT</v>
      </c>
      <c r="D1879" t="s">
        <v>11</v>
      </c>
      <c r="E1879" t="s">
        <v>1526</v>
      </c>
      <c r="F1879" t="s">
        <v>1527</v>
      </c>
      <c r="G1879">
        <v>76579</v>
      </c>
      <c r="H1879">
        <v>2010</v>
      </c>
      <c r="I1879" s="1">
        <v>15732</v>
      </c>
      <c r="J1879" s="1">
        <v>22800</v>
      </c>
      <c r="K1879" s="1">
        <v>15732</v>
      </c>
    </row>
    <row r="1880" spans="1:11" x14ac:dyDescent="0.35">
      <c r="A1880">
        <v>719656</v>
      </c>
      <c r="B1880">
        <v>1953598</v>
      </c>
      <c r="C1880" t="str">
        <f>"TROY INDEP SCHOOL DISTRICT"</f>
        <v>TROY INDEP SCHOOL DISTRICT</v>
      </c>
      <c r="D1880" t="s">
        <v>11</v>
      </c>
      <c r="E1880" t="s">
        <v>1526</v>
      </c>
      <c r="F1880" t="s">
        <v>1527</v>
      </c>
      <c r="G1880">
        <v>76579</v>
      </c>
      <c r="H1880">
        <v>2010</v>
      </c>
      <c r="I1880" s="1">
        <v>3504.94</v>
      </c>
      <c r="J1880" s="1">
        <v>5079.62</v>
      </c>
      <c r="K1880" s="1">
        <v>3504.94</v>
      </c>
    </row>
    <row r="1881" spans="1:11" x14ac:dyDescent="0.35">
      <c r="A1881">
        <v>746960</v>
      </c>
      <c r="B1881">
        <v>2016763</v>
      </c>
      <c r="C1881" t="str">
        <f>"TULIA INDEP SCHOOL DISTRICT"</f>
        <v>TULIA INDEP SCHOOL DISTRICT</v>
      </c>
      <c r="D1881" t="s">
        <v>11</v>
      </c>
      <c r="E1881" t="s">
        <v>1528</v>
      </c>
      <c r="F1881" t="s">
        <v>1529</v>
      </c>
      <c r="G1881">
        <v>79088</v>
      </c>
      <c r="H1881">
        <v>2010</v>
      </c>
      <c r="I1881" s="1">
        <v>24556.5</v>
      </c>
      <c r="J1881" s="1">
        <v>28890</v>
      </c>
      <c r="K1881" s="1">
        <v>19244</v>
      </c>
    </row>
    <row r="1882" spans="1:11" x14ac:dyDescent="0.35">
      <c r="A1882">
        <v>733320</v>
      </c>
      <c r="B1882">
        <v>2013432</v>
      </c>
      <c r="C1882" t="str">
        <f>"TULIA INDEP SCHOOL DISTRICT"</f>
        <v>TULIA INDEP SCHOOL DISTRICT</v>
      </c>
      <c r="D1882" t="s">
        <v>11</v>
      </c>
      <c r="E1882" t="s">
        <v>1528</v>
      </c>
      <c r="F1882" t="s">
        <v>1529</v>
      </c>
      <c r="G1882">
        <v>79088</v>
      </c>
      <c r="H1882">
        <v>2010</v>
      </c>
      <c r="I1882" s="1">
        <v>0</v>
      </c>
      <c r="J1882" s="1">
        <v>0</v>
      </c>
    </row>
    <row r="1883" spans="1:11" x14ac:dyDescent="0.35">
      <c r="A1883">
        <v>733320</v>
      </c>
      <c r="B1883">
        <v>2013486</v>
      </c>
      <c r="C1883" t="str">
        <f>"TULIA INDEP SCHOOL DISTRICT"</f>
        <v>TULIA INDEP SCHOOL DISTRICT</v>
      </c>
      <c r="D1883" t="s">
        <v>11</v>
      </c>
      <c r="E1883" t="s">
        <v>1528</v>
      </c>
      <c r="F1883" t="s">
        <v>1529</v>
      </c>
      <c r="G1883">
        <v>79088</v>
      </c>
      <c r="H1883">
        <v>2010</v>
      </c>
      <c r="I1883" s="1">
        <v>0</v>
      </c>
      <c r="J1883" s="1">
        <v>0</v>
      </c>
    </row>
    <row r="1884" spans="1:11" x14ac:dyDescent="0.35">
      <c r="A1884">
        <v>746960</v>
      </c>
      <c r="B1884">
        <v>2016737</v>
      </c>
      <c r="C1884" t="str">
        <f>"TULIA INDEP SCHOOL DISTRICT"</f>
        <v>TULIA INDEP SCHOOL DISTRICT</v>
      </c>
      <c r="D1884" t="s">
        <v>11</v>
      </c>
      <c r="E1884" t="s">
        <v>1528</v>
      </c>
      <c r="F1884" t="s">
        <v>1529</v>
      </c>
      <c r="G1884">
        <v>79088</v>
      </c>
      <c r="H1884">
        <v>2010</v>
      </c>
      <c r="I1884" s="1">
        <v>15725</v>
      </c>
      <c r="J1884" s="1">
        <v>18500</v>
      </c>
      <c r="K1884" s="1">
        <v>15725</v>
      </c>
    </row>
    <row r="1885" spans="1:11" x14ac:dyDescent="0.35">
      <c r="A1885">
        <v>747192</v>
      </c>
      <c r="B1885">
        <v>2017883</v>
      </c>
      <c r="C1885" t="str">
        <f>"TULOSO-MIDWAY INDEP SCH DIST"</f>
        <v>TULOSO-MIDWAY INDEP SCH DIST</v>
      </c>
      <c r="D1885" t="s">
        <v>11</v>
      </c>
      <c r="E1885" t="s">
        <v>1530</v>
      </c>
      <c r="F1885" t="s">
        <v>232</v>
      </c>
      <c r="G1885">
        <v>78410</v>
      </c>
      <c r="H1885">
        <v>2010</v>
      </c>
      <c r="I1885" s="1">
        <v>27772.75</v>
      </c>
      <c r="J1885" s="1">
        <v>42079.92</v>
      </c>
      <c r="K1885" s="1">
        <v>27772.75</v>
      </c>
    </row>
    <row r="1886" spans="1:11" x14ac:dyDescent="0.35">
      <c r="A1886">
        <v>747192</v>
      </c>
      <c r="B1886">
        <v>2019884</v>
      </c>
      <c r="C1886" t="str">
        <f>"TULOSO-MIDWAY INDEP SCH DIST"</f>
        <v>TULOSO-MIDWAY INDEP SCH DIST</v>
      </c>
      <c r="D1886" t="s">
        <v>11</v>
      </c>
      <c r="E1886" t="s">
        <v>1530</v>
      </c>
      <c r="F1886" t="s">
        <v>232</v>
      </c>
      <c r="G1886">
        <v>78410</v>
      </c>
      <c r="H1886">
        <v>2010</v>
      </c>
      <c r="I1886" s="1">
        <v>4099.1000000000004</v>
      </c>
      <c r="J1886" s="1">
        <v>6210.75</v>
      </c>
      <c r="K1886" s="1">
        <v>4099.1000000000004</v>
      </c>
    </row>
    <row r="1887" spans="1:11" x14ac:dyDescent="0.35">
      <c r="A1887">
        <v>747192</v>
      </c>
      <c r="B1887">
        <v>2019934</v>
      </c>
      <c r="C1887" t="str">
        <f>"TULOSO-MIDWAY INDEP SCH DIST"</f>
        <v>TULOSO-MIDWAY INDEP SCH DIST</v>
      </c>
      <c r="D1887" t="s">
        <v>11</v>
      </c>
      <c r="E1887" t="s">
        <v>1530</v>
      </c>
      <c r="F1887" t="s">
        <v>232</v>
      </c>
      <c r="G1887">
        <v>78410</v>
      </c>
      <c r="H1887">
        <v>2010</v>
      </c>
      <c r="I1887" s="1">
        <v>3630</v>
      </c>
      <c r="J1887" s="1">
        <v>5500</v>
      </c>
      <c r="K1887" s="1">
        <v>3630</v>
      </c>
    </row>
    <row r="1888" spans="1:11" x14ac:dyDescent="0.35">
      <c r="A1888">
        <v>747192</v>
      </c>
      <c r="B1888">
        <v>2019734</v>
      </c>
      <c r="C1888" t="str">
        <f>"TULOSO-MIDWAY INDEP SCH DIST"</f>
        <v>TULOSO-MIDWAY INDEP SCH DIST</v>
      </c>
      <c r="D1888" t="s">
        <v>11</v>
      </c>
      <c r="E1888" t="s">
        <v>1530</v>
      </c>
      <c r="F1888" t="s">
        <v>232</v>
      </c>
      <c r="G1888">
        <v>78410</v>
      </c>
      <c r="H1888">
        <v>2010</v>
      </c>
      <c r="I1888" s="1">
        <v>7854</v>
      </c>
      <c r="J1888" s="1">
        <v>11900</v>
      </c>
      <c r="K1888" s="1">
        <v>7854</v>
      </c>
    </row>
    <row r="1889" spans="1:11" x14ac:dyDescent="0.35">
      <c r="A1889">
        <v>747192</v>
      </c>
      <c r="B1889">
        <v>2019992</v>
      </c>
      <c r="C1889" t="str">
        <f>"TULOSO-MIDWAY INDEP SCH DIST"</f>
        <v>TULOSO-MIDWAY INDEP SCH DIST</v>
      </c>
      <c r="D1889" t="s">
        <v>11</v>
      </c>
      <c r="E1889" t="s">
        <v>1530</v>
      </c>
      <c r="F1889" t="s">
        <v>232</v>
      </c>
      <c r="G1889">
        <v>78410</v>
      </c>
      <c r="H1889">
        <v>2010</v>
      </c>
      <c r="I1889" s="1">
        <v>660</v>
      </c>
      <c r="J1889" s="1">
        <v>1000</v>
      </c>
      <c r="K1889" s="1">
        <v>660</v>
      </c>
    </row>
    <row r="1890" spans="1:11" x14ac:dyDescent="0.35">
      <c r="A1890">
        <v>766935</v>
      </c>
      <c r="B1890">
        <v>2076278</v>
      </c>
      <c r="C1890" t="str">
        <f>"TWO DIMENSIONS PREP-VETERANS"</f>
        <v>TWO DIMENSIONS PREP-VETERANS</v>
      </c>
      <c r="D1890" t="s">
        <v>11</v>
      </c>
      <c r="E1890" t="s">
        <v>1531</v>
      </c>
      <c r="F1890" t="s">
        <v>29</v>
      </c>
      <c r="G1890">
        <v>77067</v>
      </c>
      <c r="H1890">
        <v>2010</v>
      </c>
      <c r="I1890" s="1">
        <v>4095</v>
      </c>
      <c r="J1890" s="1">
        <v>7800</v>
      </c>
    </row>
    <row r="1891" spans="1:11" x14ac:dyDescent="0.35">
      <c r="A1891">
        <v>748031</v>
      </c>
      <c r="B1891">
        <v>2054824</v>
      </c>
      <c r="C1891" t="str">
        <f>"TYLER INDEP SCHOOL DISTRICT"</f>
        <v>TYLER INDEP SCHOOL DISTRICT</v>
      </c>
      <c r="D1891" t="s">
        <v>11</v>
      </c>
      <c r="E1891" t="s">
        <v>1532</v>
      </c>
      <c r="F1891" t="s">
        <v>287</v>
      </c>
      <c r="G1891">
        <v>75701</v>
      </c>
      <c r="H1891">
        <v>2010</v>
      </c>
      <c r="I1891" s="1">
        <v>19792.419999999998</v>
      </c>
      <c r="J1891" s="1">
        <v>25374.9</v>
      </c>
      <c r="K1891" s="1">
        <v>19792.419999999998</v>
      </c>
    </row>
    <row r="1892" spans="1:11" x14ac:dyDescent="0.35">
      <c r="A1892">
        <v>754927</v>
      </c>
      <c r="B1892">
        <v>2076017</v>
      </c>
      <c r="C1892" t="str">
        <f>"The Pegasus Charter School"</f>
        <v>The Pegasus Charter School</v>
      </c>
      <c r="D1892" t="s">
        <v>11</v>
      </c>
      <c r="E1892" t="s">
        <v>1533</v>
      </c>
      <c r="F1892" t="s">
        <v>1534</v>
      </c>
      <c r="G1892">
        <v>75201</v>
      </c>
      <c r="H1892">
        <v>2010</v>
      </c>
      <c r="I1892" s="1">
        <v>11723.52</v>
      </c>
      <c r="J1892" s="1">
        <v>14654.4</v>
      </c>
      <c r="K1892" s="1">
        <v>0</v>
      </c>
    </row>
    <row r="1893" spans="1:11" x14ac:dyDescent="0.35">
      <c r="A1893">
        <v>739459</v>
      </c>
      <c r="B1893">
        <v>2002101</v>
      </c>
      <c r="C1893" t="str">
        <f>"UNION HILL INDEP SCHOOL DIST"</f>
        <v>UNION HILL INDEP SCHOOL DIST</v>
      </c>
      <c r="D1893" t="s">
        <v>11</v>
      </c>
      <c r="E1893" t="s">
        <v>1535</v>
      </c>
      <c r="F1893" t="s">
        <v>598</v>
      </c>
      <c r="G1893">
        <v>75644</v>
      </c>
      <c r="H1893">
        <v>2010</v>
      </c>
      <c r="I1893" s="1">
        <v>2088</v>
      </c>
      <c r="J1893" s="1">
        <v>2610</v>
      </c>
      <c r="K1893" s="1">
        <v>2088</v>
      </c>
    </row>
    <row r="1894" spans="1:11" x14ac:dyDescent="0.35">
      <c r="A1894">
        <v>739459</v>
      </c>
      <c r="B1894">
        <v>2001723</v>
      </c>
      <c r="C1894" t="str">
        <f>"UNION HILL INDEP SCHOOL DIST"</f>
        <v>UNION HILL INDEP SCHOOL DIST</v>
      </c>
      <c r="D1894" t="s">
        <v>11</v>
      </c>
      <c r="E1894" t="s">
        <v>1535</v>
      </c>
      <c r="F1894" t="s">
        <v>598</v>
      </c>
      <c r="G1894">
        <v>75644</v>
      </c>
      <c r="H1894">
        <v>2010</v>
      </c>
      <c r="I1894" s="1">
        <v>4896</v>
      </c>
      <c r="J1894" s="1">
        <v>6120</v>
      </c>
      <c r="K1894" s="1">
        <v>4896</v>
      </c>
    </row>
    <row r="1895" spans="1:11" x14ac:dyDescent="0.35">
      <c r="A1895">
        <v>725964</v>
      </c>
      <c r="B1895">
        <v>1965494</v>
      </c>
      <c r="C1895" t="str">
        <f>"UNITED ISD"</f>
        <v>UNITED ISD</v>
      </c>
      <c r="D1895" t="s">
        <v>11</v>
      </c>
      <c r="E1895" t="s">
        <v>1536</v>
      </c>
      <c r="F1895" t="s">
        <v>452</v>
      </c>
      <c r="G1895">
        <v>78045</v>
      </c>
      <c r="H1895">
        <v>2010</v>
      </c>
      <c r="I1895" s="1">
        <v>327749.65999999997</v>
      </c>
      <c r="J1895" s="1">
        <v>385587.84</v>
      </c>
      <c r="K1895" s="1">
        <v>327749.65999999997</v>
      </c>
    </row>
    <row r="1896" spans="1:11" x14ac:dyDescent="0.35">
      <c r="A1896">
        <v>728324</v>
      </c>
      <c r="B1896">
        <v>1970513</v>
      </c>
      <c r="C1896" t="str">
        <f>"UNITED ISD"</f>
        <v>UNITED ISD</v>
      </c>
      <c r="D1896" t="s">
        <v>11</v>
      </c>
      <c r="E1896" t="s">
        <v>1536</v>
      </c>
      <c r="F1896" t="s">
        <v>452</v>
      </c>
      <c r="G1896">
        <v>78045</v>
      </c>
      <c r="H1896">
        <v>2010</v>
      </c>
      <c r="I1896" s="1">
        <v>257477.75</v>
      </c>
      <c r="J1896" s="1">
        <v>302915</v>
      </c>
      <c r="K1896" s="1">
        <v>242332</v>
      </c>
    </row>
    <row r="1897" spans="1:11" x14ac:dyDescent="0.35">
      <c r="A1897">
        <v>730620</v>
      </c>
      <c r="B1897">
        <v>2033474</v>
      </c>
      <c r="C1897" t="str">
        <f>"UPLIFT EDUCATION"</f>
        <v>UPLIFT EDUCATION</v>
      </c>
      <c r="D1897" t="s">
        <v>11</v>
      </c>
      <c r="E1897" t="s">
        <v>1537</v>
      </c>
      <c r="F1897" t="s">
        <v>13</v>
      </c>
      <c r="G1897">
        <v>75039</v>
      </c>
      <c r="H1897">
        <v>2010</v>
      </c>
      <c r="I1897" s="1">
        <v>734.16</v>
      </c>
      <c r="J1897" s="1">
        <v>2492</v>
      </c>
      <c r="K1897" s="1">
        <v>734.16</v>
      </c>
    </row>
    <row r="1898" spans="1:11" x14ac:dyDescent="0.35">
      <c r="A1898">
        <v>730620</v>
      </c>
      <c r="B1898">
        <v>2033448</v>
      </c>
      <c r="C1898" t="str">
        <f>"UPLIFT EDUCATION"</f>
        <v>UPLIFT EDUCATION</v>
      </c>
      <c r="D1898" t="s">
        <v>11</v>
      </c>
      <c r="E1898" t="s">
        <v>1537</v>
      </c>
      <c r="F1898" t="s">
        <v>13</v>
      </c>
      <c r="G1898">
        <v>75039</v>
      </c>
      <c r="H1898">
        <v>2010</v>
      </c>
      <c r="I1898" s="1">
        <v>2475.7199999999998</v>
      </c>
      <c r="J1898" s="1">
        <v>3588</v>
      </c>
    </row>
    <row r="1899" spans="1:11" x14ac:dyDescent="0.35">
      <c r="A1899">
        <v>752869</v>
      </c>
      <c r="B1899">
        <v>2035029</v>
      </c>
      <c r="C1899" t="str">
        <f>"UTOPIA INDEP SCHOOL DISTRICT"</f>
        <v>UTOPIA INDEP SCHOOL DISTRICT</v>
      </c>
      <c r="D1899" t="s">
        <v>11</v>
      </c>
      <c r="E1899" t="s">
        <v>1538</v>
      </c>
      <c r="F1899" t="s">
        <v>1539</v>
      </c>
      <c r="G1899">
        <v>78884</v>
      </c>
      <c r="H1899">
        <v>2010</v>
      </c>
      <c r="I1899" s="1">
        <v>776.48</v>
      </c>
      <c r="J1899" s="1">
        <v>1109.25</v>
      </c>
    </row>
    <row r="1900" spans="1:11" x14ac:dyDescent="0.35">
      <c r="A1900">
        <v>752869</v>
      </c>
      <c r="B1900">
        <v>2035055</v>
      </c>
      <c r="C1900" t="str">
        <f>"UTOPIA INDEP SCHOOL DISTRICT"</f>
        <v>UTOPIA INDEP SCHOOL DISTRICT</v>
      </c>
      <c r="D1900" t="s">
        <v>11</v>
      </c>
      <c r="E1900" t="s">
        <v>1538</v>
      </c>
      <c r="F1900" t="s">
        <v>1539</v>
      </c>
      <c r="G1900">
        <v>78884</v>
      </c>
      <c r="H1900">
        <v>2010</v>
      </c>
      <c r="I1900" s="1">
        <v>138.6</v>
      </c>
      <c r="J1900" s="1">
        <v>198</v>
      </c>
    </row>
    <row r="1901" spans="1:11" x14ac:dyDescent="0.35">
      <c r="A1901">
        <v>752869</v>
      </c>
      <c r="B1901">
        <v>2035108</v>
      </c>
      <c r="C1901" t="str">
        <f>"UTOPIA INDEP SCHOOL DISTRICT"</f>
        <v>UTOPIA INDEP SCHOOL DISTRICT</v>
      </c>
      <c r="D1901" t="s">
        <v>11</v>
      </c>
      <c r="E1901" t="s">
        <v>1538</v>
      </c>
      <c r="F1901" t="s">
        <v>1539</v>
      </c>
      <c r="G1901">
        <v>78884</v>
      </c>
      <c r="H1901">
        <v>2010</v>
      </c>
      <c r="I1901" s="1">
        <v>12432</v>
      </c>
      <c r="J1901" s="1">
        <v>17760</v>
      </c>
      <c r="K1901" s="1">
        <v>11732.64</v>
      </c>
    </row>
    <row r="1902" spans="1:11" x14ac:dyDescent="0.35">
      <c r="A1902">
        <v>763088</v>
      </c>
      <c r="B1902">
        <v>2061618</v>
      </c>
      <c r="C1902" t="str">
        <f>"UVALDE CONS INDEP SCHOOL DIST"</f>
        <v>UVALDE CONS INDEP SCHOOL DIST</v>
      </c>
      <c r="D1902" t="s">
        <v>11</v>
      </c>
      <c r="E1902" t="s">
        <v>1540</v>
      </c>
      <c r="F1902" t="s">
        <v>573</v>
      </c>
      <c r="G1902">
        <v>78801</v>
      </c>
      <c r="H1902">
        <v>2010</v>
      </c>
      <c r="I1902" s="1">
        <v>4224</v>
      </c>
      <c r="J1902" s="1">
        <v>4800</v>
      </c>
    </row>
    <row r="1903" spans="1:11" x14ac:dyDescent="0.35">
      <c r="A1903">
        <v>752194</v>
      </c>
      <c r="B1903">
        <v>2056244</v>
      </c>
      <c r="C1903" t="str">
        <f>"UVALDE CONS INDEP SCHOOL DIST"</f>
        <v>UVALDE CONS INDEP SCHOOL DIST</v>
      </c>
      <c r="D1903" t="s">
        <v>11</v>
      </c>
      <c r="E1903" t="s">
        <v>1540</v>
      </c>
      <c r="F1903" t="s">
        <v>573</v>
      </c>
      <c r="G1903">
        <v>78801</v>
      </c>
      <c r="H1903">
        <v>2010</v>
      </c>
      <c r="I1903" s="1">
        <v>43958.11</v>
      </c>
      <c r="J1903" s="1">
        <v>49952.4</v>
      </c>
    </row>
    <row r="1904" spans="1:11" x14ac:dyDescent="0.35">
      <c r="A1904">
        <v>762453</v>
      </c>
      <c r="B1904">
        <v>2059730</v>
      </c>
      <c r="C1904" t="str">
        <f>"UVALDE CONS INDEP SCHOOL DIST"</f>
        <v>UVALDE CONS INDEP SCHOOL DIST</v>
      </c>
      <c r="D1904" t="s">
        <v>11</v>
      </c>
      <c r="E1904" t="s">
        <v>1540</v>
      </c>
      <c r="F1904" t="s">
        <v>573</v>
      </c>
      <c r="G1904">
        <v>78801</v>
      </c>
      <c r="H1904">
        <v>2010</v>
      </c>
      <c r="I1904" s="1">
        <v>2112</v>
      </c>
      <c r="J1904" s="1">
        <v>2400</v>
      </c>
      <c r="K1904" s="1">
        <v>2112</v>
      </c>
    </row>
    <row r="1905" spans="1:11" x14ac:dyDescent="0.35">
      <c r="A1905">
        <v>746969</v>
      </c>
      <c r="B1905">
        <v>2076231</v>
      </c>
      <c r="C1905" t="str">
        <f>"VALENTINE INDEPENDENT SCHOOL"</f>
        <v>VALENTINE INDEPENDENT SCHOOL</v>
      </c>
      <c r="D1905" t="s">
        <v>11</v>
      </c>
      <c r="E1905" t="s">
        <v>1541</v>
      </c>
      <c r="F1905" t="s">
        <v>1542</v>
      </c>
      <c r="G1905">
        <v>79854</v>
      </c>
      <c r="H1905">
        <v>2010</v>
      </c>
      <c r="I1905" s="1">
        <v>1727.62</v>
      </c>
      <c r="J1905" s="1">
        <v>2159.52</v>
      </c>
      <c r="K1905" s="1">
        <v>1727.62</v>
      </c>
    </row>
    <row r="1906" spans="1:11" x14ac:dyDescent="0.35">
      <c r="A1906">
        <v>746969</v>
      </c>
      <c r="B1906">
        <v>2076298</v>
      </c>
      <c r="C1906" t="str">
        <f>"VALENTINE INDEPENDENT SCHOOL"</f>
        <v>VALENTINE INDEPENDENT SCHOOL</v>
      </c>
      <c r="D1906" t="s">
        <v>11</v>
      </c>
      <c r="E1906" t="s">
        <v>1541</v>
      </c>
      <c r="F1906" t="s">
        <v>1542</v>
      </c>
      <c r="G1906">
        <v>79854</v>
      </c>
      <c r="H1906">
        <v>2010</v>
      </c>
      <c r="I1906" s="1">
        <v>22464</v>
      </c>
      <c r="J1906" s="1">
        <v>28080</v>
      </c>
      <c r="K1906" s="1">
        <v>14976</v>
      </c>
    </row>
    <row r="1907" spans="1:11" x14ac:dyDescent="0.35">
      <c r="A1907">
        <v>746969</v>
      </c>
      <c r="B1907">
        <v>2077569</v>
      </c>
      <c r="C1907" t="str">
        <f>"VALENTINE INDEPENDENT SCHOOL"</f>
        <v>VALENTINE INDEPENDENT SCHOOL</v>
      </c>
      <c r="D1907" t="s">
        <v>11</v>
      </c>
      <c r="E1907" t="s">
        <v>1541</v>
      </c>
      <c r="F1907" t="s">
        <v>1542</v>
      </c>
      <c r="G1907">
        <v>79854</v>
      </c>
      <c r="H1907">
        <v>2010</v>
      </c>
      <c r="I1907" s="1">
        <v>4416</v>
      </c>
      <c r="J1907" s="1">
        <v>5520</v>
      </c>
      <c r="K1907" s="1">
        <v>368</v>
      </c>
    </row>
    <row r="1908" spans="1:11" x14ac:dyDescent="0.35">
      <c r="A1908">
        <v>760021</v>
      </c>
      <c r="B1908">
        <v>2053618</v>
      </c>
      <c r="C1908" t="str">
        <f>"VALLEY MILLS SCHOOL DISTRICT"</f>
        <v>VALLEY MILLS SCHOOL DISTRICT</v>
      </c>
      <c r="D1908" t="s">
        <v>11</v>
      </c>
      <c r="E1908" t="s">
        <v>1543</v>
      </c>
      <c r="F1908" t="s">
        <v>1544</v>
      </c>
      <c r="G1908">
        <v>76689</v>
      </c>
      <c r="H1908">
        <v>2010</v>
      </c>
      <c r="I1908" s="1">
        <v>23100.959999999999</v>
      </c>
      <c r="J1908" s="1">
        <v>30396</v>
      </c>
      <c r="K1908" s="1">
        <v>23100.959999999999</v>
      </c>
    </row>
    <row r="1909" spans="1:11" x14ac:dyDescent="0.35">
      <c r="A1909">
        <v>720053</v>
      </c>
      <c r="B1909">
        <v>1981986</v>
      </c>
      <c r="C1909" t="str">
        <f t="shared" ref="C1909:C1914" si="27">"VALLEY VIEW INDEP SCHOOL DIST"</f>
        <v>VALLEY VIEW INDEP SCHOOL DIST</v>
      </c>
      <c r="D1909" t="s">
        <v>11</v>
      </c>
      <c r="E1909" t="s">
        <v>1545</v>
      </c>
      <c r="F1909" t="s">
        <v>1546</v>
      </c>
      <c r="G1909">
        <v>76272</v>
      </c>
      <c r="H1909">
        <v>2010</v>
      </c>
      <c r="I1909" s="1">
        <v>1664</v>
      </c>
      <c r="J1909" s="1">
        <v>2600</v>
      </c>
      <c r="K1909" s="1">
        <v>1664</v>
      </c>
    </row>
    <row r="1910" spans="1:11" x14ac:dyDescent="0.35">
      <c r="A1910">
        <v>720053</v>
      </c>
      <c r="B1910">
        <v>1981994</v>
      </c>
      <c r="C1910" t="str">
        <f t="shared" si="27"/>
        <v>VALLEY VIEW INDEP SCHOOL DIST</v>
      </c>
      <c r="D1910" t="s">
        <v>11</v>
      </c>
      <c r="E1910" t="s">
        <v>1545</v>
      </c>
      <c r="F1910" t="s">
        <v>1546</v>
      </c>
      <c r="G1910">
        <v>76272</v>
      </c>
      <c r="H1910">
        <v>2010</v>
      </c>
      <c r="I1910" s="1">
        <v>285.44</v>
      </c>
      <c r="J1910" s="1">
        <v>446</v>
      </c>
      <c r="K1910" s="1">
        <v>285.44</v>
      </c>
    </row>
    <row r="1911" spans="1:11" x14ac:dyDescent="0.35">
      <c r="A1911">
        <v>745992</v>
      </c>
      <c r="B1911">
        <v>2043408</v>
      </c>
      <c r="C1911" t="str">
        <f t="shared" si="27"/>
        <v>VALLEY VIEW INDEP SCHOOL DIST</v>
      </c>
      <c r="D1911" t="s">
        <v>11</v>
      </c>
      <c r="E1911" t="s">
        <v>1547</v>
      </c>
      <c r="F1911" t="s">
        <v>1178</v>
      </c>
      <c r="G1911">
        <v>78577</v>
      </c>
      <c r="H1911">
        <v>2010</v>
      </c>
      <c r="I1911" s="1">
        <v>6655.5</v>
      </c>
      <c r="J1911" s="1">
        <v>7395</v>
      </c>
      <c r="K1911" s="1">
        <v>6655.5</v>
      </c>
    </row>
    <row r="1912" spans="1:11" x14ac:dyDescent="0.35">
      <c r="A1912">
        <v>720053</v>
      </c>
      <c r="B1912">
        <v>1981963</v>
      </c>
      <c r="C1912" t="str">
        <f t="shared" si="27"/>
        <v>VALLEY VIEW INDEP SCHOOL DIST</v>
      </c>
      <c r="D1912" t="s">
        <v>11</v>
      </c>
      <c r="E1912" t="s">
        <v>1545</v>
      </c>
      <c r="F1912" t="s">
        <v>1546</v>
      </c>
      <c r="G1912">
        <v>76272</v>
      </c>
      <c r="H1912">
        <v>2010</v>
      </c>
      <c r="I1912" s="1">
        <v>1459.2</v>
      </c>
      <c r="J1912" s="1">
        <v>9120</v>
      </c>
      <c r="K1912" s="1">
        <v>1459.2</v>
      </c>
    </row>
    <row r="1913" spans="1:11" x14ac:dyDescent="0.35">
      <c r="A1913">
        <v>720053</v>
      </c>
      <c r="B1913">
        <v>1981973</v>
      </c>
      <c r="C1913" t="str">
        <f t="shared" si="27"/>
        <v>VALLEY VIEW INDEP SCHOOL DIST</v>
      </c>
      <c r="D1913" t="s">
        <v>11</v>
      </c>
      <c r="E1913" t="s">
        <v>1545</v>
      </c>
      <c r="F1913" t="s">
        <v>1546</v>
      </c>
      <c r="G1913">
        <v>76272</v>
      </c>
      <c r="H1913">
        <v>2010</v>
      </c>
      <c r="I1913" s="1">
        <v>1382</v>
      </c>
      <c r="J1913" s="1">
        <v>4320</v>
      </c>
      <c r="K1913" s="1">
        <v>1382</v>
      </c>
    </row>
    <row r="1914" spans="1:11" x14ac:dyDescent="0.35">
      <c r="A1914">
        <v>745992</v>
      </c>
      <c r="B1914">
        <v>2043275</v>
      </c>
      <c r="C1914" t="str">
        <f t="shared" si="27"/>
        <v>VALLEY VIEW INDEP SCHOOL DIST</v>
      </c>
      <c r="D1914" t="s">
        <v>11</v>
      </c>
      <c r="E1914" t="s">
        <v>1547</v>
      </c>
      <c r="F1914" t="s">
        <v>1178</v>
      </c>
      <c r="G1914">
        <v>78577</v>
      </c>
      <c r="H1914">
        <v>2010</v>
      </c>
      <c r="I1914" s="1">
        <v>18900</v>
      </c>
      <c r="J1914" s="1">
        <v>21000</v>
      </c>
      <c r="K1914" s="1">
        <v>18900</v>
      </c>
    </row>
    <row r="1915" spans="1:11" x14ac:dyDescent="0.35">
      <c r="A1915">
        <v>759726</v>
      </c>
      <c r="B1915">
        <v>2077613</v>
      </c>
      <c r="C1915" t="str">
        <f>"VAN INDEP SCHOOL DISTRICT"</f>
        <v>VAN INDEP SCHOOL DISTRICT</v>
      </c>
      <c r="D1915" t="s">
        <v>11</v>
      </c>
      <c r="E1915" t="s">
        <v>1548</v>
      </c>
      <c r="F1915" t="s">
        <v>1549</v>
      </c>
      <c r="G1915">
        <v>75790</v>
      </c>
      <c r="H1915">
        <v>2010</v>
      </c>
      <c r="I1915" s="1">
        <v>7208.45</v>
      </c>
      <c r="J1915" s="1">
        <v>9484.7999999999993</v>
      </c>
      <c r="K1915" s="1">
        <v>7208.45</v>
      </c>
    </row>
    <row r="1916" spans="1:11" x14ac:dyDescent="0.35">
      <c r="A1916">
        <v>759726</v>
      </c>
      <c r="B1916">
        <v>2077591</v>
      </c>
      <c r="C1916" t="str">
        <f>"VAN INDEP SCHOOL DISTRICT"</f>
        <v>VAN INDEP SCHOOL DISTRICT</v>
      </c>
      <c r="D1916" t="s">
        <v>11</v>
      </c>
      <c r="E1916" t="s">
        <v>1548</v>
      </c>
      <c r="F1916" t="s">
        <v>1549</v>
      </c>
      <c r="G1916">
        <v>75790</v>
      </c>
      <c r="H1916">
        <v>2010</v>
      </c>
      <c r="I1916" s="1">
        <v>14613.71</v>
      </c>
      <c r="J1916" s="1">
        <v>19228.560000000001</v>
      </c>
      <c r="K1916" s="1">
        <v>14613.71</v>
      </c>
    </row>
    <row r="1917" spans="1:11" x14ac:dyDescent="0.35">
      <c r="A1917">
        <v>724025</v>
      </c>
      <c r="B1917">
        <v>1961735</v>
      </c>
      <c r="C1917" t="str">
        <f>"VAN VLECK INDEP SCHOOL DIST"</f>
        <v>VAN VLECK INDEP SCHOOL DIST</v>
      </c>
      <c r="D1917" t="s">
        <v>11</v>
      </c>
      <c r="E1917" t="s">
        <v>1550</v>
      </c>
      <c r="F1917" t="s">
        <v>1551</v>
      </c>
      <c r="G1917">
        <v>77482</v>
      </c>
      <c r="H1917">
        <v>2010</v>
      </c>
      <c r="I1917" s="1">
        <v>2110.23</v>
      </c>
      <c r="J1917" s="1">
        <v>2740.56</v>
      </c>
      <c r="K1917" s="1">
        <v>2110.19</v>
      </c>
    </row>
    <row r="1918" spans="1:11" x14ac:dyDescent="0.35">
      <c r="A1918">
        <v>724025</v>
      </c>
      <c r="B1918">
        <v>1961745</v>
      </c>
      <c r="C1918" t="str">
        <f>"VAN VLECK INDEP SCHOOL DIST"</f>
        <v>VAN VLECK INDEP SCHOOL DIST</v>
      </c>
      <c r="D1918" t="s">
        <v>11</v>
      </c>
      <c r="E1918" t="s">
        <v>1550</v>
      </c>
      <c r="F1918" t="s">
        <v>1551</v>
      </c>
      <c r="G1918">
        <v>77482</v>
      </c>
      <c r="H1918">
        <v>2010</v>
      </c>
      <c r="I1918" s="1">
        <v>1108.8</v>
      </c>
      <c r="J1918" s="1">
        <v>1440</v>
      </c>
      <c r="K1918" s="1">
        <v>1108.8</v>
      </c>
    </row>
    <row r="1919" spans="1:11" x14ac:dyDescent="0.35">
      <c r="A1919">
        <v>724025</v>
      </c>
      <c r="B1919">
        <v>1961776</v>
      </c>
      <c r="C1919" t="str">
        <f>"VAN VLECK INDEP SCHOOL DIST"</f>
        <v>VAN VLECK INDEP SCHOOL DIST</v>
      </c>
      <c r="D1919" t="s">
        <v>11</v>
      </c>
      <c r="E1919" t="s">
        <v>1550</v>
      </c>
      <c r="F1919" t="s">
        <v>1551</v>
      </c>
      <c r="G1919">
        <v>77482</v>
      </c>
      <c r="H1919">
        <v>2010</v>
      </c>
      <c r="I1919" s="1">
        <v>11159.52</v>
      </c>
      <c r="J1919" s="1">
        <v>14492.88</v>
      </c>
      <c r="K1919" s="1">
        <v>10017.65</v>
      </c>
    </row>
    <row r="1920" spans="1:11" x14ac:dyDescent="0.35">
      <c r="A1920">
        <v>724025</v>
      </c>
      <c r="B1920">
        <v>1961728</v>
      </c>
      <c r="C1920" t="str">
        <f>"VAN VLECK INDEP SCHOOL DIST"</f>
        <v>VAN VLECK INDEP SCHOOL DIST</v>
      </c>
      <c r="D1920" t="s">
        <v>11</v>
      </c>
      <c r="E1920" t="s">
        <v>1550</v>
      </c>
      <c r="F1920" t="s">
        <v>1551</v>
      </c>
      <c r="G1920">
        <v>77482</v>
      </c>
      <c r="H1920">
        <v>2010</v>
      </c>
      <c r="I1920" s="1">
        <v>6930</v>
      </c>
      <c r="J1920" s="1">
        <v>9000</v>
      </c>
      <c r="K1920" s="1">
        <v>6314</v>
      </c>
    </row>
    <row r="1921" spans="1:11" x14ac:dyDescent="0.35">
      <c r="A1921">
        <v>765241</v>
      </c>
      <c r="B1921">
        <v>2068349</v>
      </c>
      <c r="C1921" t="str">
        <f>"VARNETT SCHOOL"</f>
        <v>VARNETT SCHOOL</v>
      </c>
      <c r="D1921" t="s">
        <v>11</v>
      </c>
      <c r="E1921" t="s">
        <v>1552</v>
      </c>
      <c r="F1921" t="s">
        <v>29</v>
      </c>
      <c r="G1921">
        <v>77035</v>
      </c>
      <c r="H1921">
        <v>2010</v>
      </c>
      <c r="I1921" s="1">
        <v>40761.68</v>
      </c>
      <c r="J1921" s="1">
        <v>45290.76</v>
      </c>
      <c r="K1921" s="1">
        <v>37930.269999999997</v>
      </c>
    </row>
    <row r="1922" spans="1:11" x14ac:dyDescent="0.35">
      <c r="A1922">
        <v>740999</v>
      </c>
      <c r="B1922">
        <v>2001249</v>
      </c>
      <c r="C1922" t="str">
        <f>"VEGA INDEP SCHOOL DISTRICT"</f>
        <v>VEGA INDEP SCHOOL DISTRICT</v>
      </c>
      <c r="D1922" t="s">
        <v>11</v>
      </c>
      <c r="E1922" t="s">
        <v>1553</v>
      </c>
      <c r="F1922" t="s">
        <v>1554</v>
      </c>
      <c r="G1922">
        <v>79092</v>
      </c>
      <c r="H1922">
        <v>2010</v>
      </c>
      <c r="I1922" s="1">
        <v>4810</v>
      </c>
      <c r="J1922" s="1">
        <v>7400</v>
      </c>
      <c r="K1922" s="1">
        <v>4810</v>
      </c>
    </row>
    <row r="1923" spans="1:11" x14ac:dyDescent="0.35">
      <c r="A1923">
        <v>740999</v>
      </c>
      <c r="B1923">
        <v>2001103</v>
      </c>
      <c r="C1923" t="str">
        <f>"VEGA INDEP SCHOOL DISTRICT"</f>
        <v>VEGA INDEP SCHOOL DISTRICT</v>
      </c>
      <c r="D1923" t="s">
        <v>11</v>
      </c>
      <c r="E1923" t="s">
        <v>1553</v>
      </c>
      <c r="F1923" t="s">
        <v>1554</v>
      </c>
      <c r="G1923">
        <v>79092</v>
      </c>
      <c r="H1923">
        <v>2010</v>
      </c>
      <c r="I1923" s="1">
        <v>10653.5</v>
      </c>
      <c r="J1923" s="1">
        <v>16390</v>
      </c>
      <c r="K1923" s="1">
        <v>7362.85</v>
      </c>
    </row>
    <row r="1924" spans="1:11" x14ac:dyDescent="0.35">
      <c r="A1924">
        <v>740999</v>
      </c>
      <c r="B1924">
        <v>2016321</v>
      </c>
      <c r="C1924" t="str">
        <f>"VEGA INDEP SCHOOL DISTRICT"</f>
        <v>VEGA INDEP SCHOOL DISTRICT</v>
      </c>
      <c r="D1924" t="s">
        <v>11</v>
      </c>
      <c r="E1924" t="s">
        <v>1553</v>
      </c>
      <c r="F1924" t="s">
        <v>1554</v>
      </c>
      <c r="G1924">
        <v>79092</v>
      </c>
      <c r="H1924">
        <v>2010</v>
      </c>
      <c r="I1924" s="1">
        <v>2184</v>
      </c>
      <c r="J1924" s="1">
        <v>3360</v>
      </c>
    </row>
    <row r="1925" spans="1:11" x14ac:dyDescent="0.35">
      <c r="A1925">
        <v>740999</v>
      </c>
      <c r="B1925">
        <v>2001234</v>
      </c>
      <c r="C1925" t="str">
        <f>"VEGA INDEP SCHOOL DISTRICT"</f>
        <v>VEGA INDEP SCHOOL DISTRICT</v>
      </c>
      <c r="D1925" t="s">
        <v>11</v>
      </c>
      <c r="E1925" t="s">
        <v>1553</v>
      </c>
      <c r="F1925" t="s">
        <v>1554</v>
      </c>
      <c r="G1925">
        <v>79092</v>
      </c>
      <c r="H1925">
        <v>2010</v>
      </c>
      <c r="I1925" s="1">
        <v>555.75</v>
      </c>
      <c r="J1925" s="1">
        <v>855</v>
      </c>
      <c r="K1925" s="1">
        <v>555.75</v>
      </c>
    </row>
    <row r="1926" spans="1:11" x14ac:dyDescent="0.35">
      <c r="A1926">
        <v>756325</v>
      </c>
      <c r="B1926">
        <v>2054391</v>
      </c>
      <c r="C1926" t="str">
        <f t="shared" ref="C1926:C1931" si="28">"VENUS INDEP SCHOOL DISTRICT"</f>
        <v>VENUS INDEP SCHOOL DISTRICT</v>
      </c>
      <c r="D1926" t="s">
        <v>11</v>
      </c>
      <c r="E1926" t="s">
        <v>1555</v>
      </c>
      <c r="F1926" t="s">
        <v>1556</v>
      </c>
      <c r="G1926">
        <v>76084</v>
      </c>
      <c r="H1926">
        <v>2010</v>
      </c>
      <c r="I1926" s="1">
        <v>3373.14</v>
      </c>
      <c r="J1926" s="1">
        <v>3968.4</v>
      </c>
      <c r="K1926" s="1">
        <v>3373.14</v>
      </c>
    </row>
    <row r="1927" spans="1:11" x14ac:dyDescent="0.35">
      <c r="A1927">
        <v>756325</v>
      </c>
      <c r="B1927">
        <v>2054471</v>
      </c>
      <c r="C1927" t="str">
        <f t="shared" si="28"/>
        <v>VENUS INDEP SCHOOL DISTRICT</v>
      </c>
      <c r="D1927" t="s">
        <v>11</v>
      </c>
      <c r="E1927" t="s">
        <v>1555</v>
      </c>
      <c r="F1927" t="s">
        <v>1556</v>
      </c>
      <c r="G1927">
        <v>76084</v>
      </c>
      <c r="H1927">
        <v>2010</v>
      </c>
      <c r="I1927" s="1">
        <v>0</v>
      </c>
      <c r="J1927" s="1">
        <v>0</v>
      </c>
    </row>
    <row r="1928" spans="1:11" x14ac:dyDescent="0.35">
      <c r="A1928">
        <v>756325</v>
      </c>
      <c r="B1928">
        <v>2054456</v>
      </c>
      <c r="C1928" t="str">
        <f t="shared" si="28"/>
        <v>VENUS INDEP SCHOOL DISTRICT</v>
      </c>
      <c r="D1928" t="s">
        <v>11</v>
      </c>
      <c r="E1928" t="s">
        <v>1555</v>
      </c>
      <c r="F1928" t="s">
        <v>1556</v>
      </c>
      <c r="G1928">
        <v>76084</v>
      </c>
      <c r="H1928">
        <v>2010</v>
      </c>
      <c r="I1928" s="1">
        <v>9945</v>
      </c>
      <c r="J1928" s="1">
        <v>11700</v>
      </c>
      <c r="K1928" s="1">
        <v>9945</v>
      </c>
    </row>
    <row r="1929" spans="1:11" x14ac:dyDescent="0.35">
      <c r="A1929">
        <v>756325</v>
      </c>
      <c r="B1929">
        <v>2054446</v>
      </c>
      <c r="C1929" t="str">
        <f t="shared" si="28"/>
        <v>VENUS INDEP SCHOOL DISTRICT</v>
      </c>
      <c r="D1929" t="s">
        <v>11</v>
      </c>
      <c r="E1929" t="s">
        <v>1555</v>
      </c>
      <c r="F1929" t="s">
        <v>1556</v>
      </c>
      <c r="G1929">
        <v>76084</v>
      </c>
      <c r="H1929">
        <v>2010</v>
      </c>
      <c r="I1929" s="1">
        <v>7650</v>
      </c>
      <c r="J1929" s="1">
        <v>9000</v>
      </c>
      <c r="K1929" s="1">
        <v>7650</v>
      </c>
    </row>
    <row r="1930" spans="1:11" x14ac:dyDescent="0.35">
      <c r="A1930">
        <v>756325</v>
      </c>
      <c r="B1930">
        <v>2054468</v>
      </c>
      <c r="C1930" t="str">
        <f t="shared" si="28"/>
        <v>VENUS INDEP SCHOOL DISTRICT</v>
      </c>
      <c r="D1930" t="s">
        <v>11</v>
      </c>
      <c r="E1930" t="s">
        <v>1555</v>
      </c>
      <c r="F1930" t="s">
        <v>1556</v>
      </c>
      <c r="G1930">
        <v>76084</v>
      </c>
      <c r="H1930">
        <v>2010</v>
      </c>
      <c r="I1930" s="1">
        <v>6069</v>
      </c>
      <c r="J1930" s="1">
        <v>7140</v>
      </c>
      <c r="K1930" s="1">
        <v>6069</v>
      </c>
    </row>
    <row r="1931" spans="1:11" x14ac:dyDescent="0.35">
      <c r="A1931">
        <v>756325</v>
      </c>
      <c r="B1931">
        <v>2053441</v>
      </c>
      <c r="C1931" t="str">
        <f t="shared" si="28"/>
        <v>VENUS INDEP SCHOOL DISTRICT</v>
      </c>
      <c r="D1931" t="s">
        <v>11</v>
      </c>
      <c r="E1931" t="s">
        <v>1555</v>
      </c>
      <c r="F1931" t="s">
        <v>1556</v>
      </c>
      <c r="G1931">
        <v>76084</v>
      </c>
      <c r="H1931">
        <v>2010</v>
      </c>
      <c r="I1931" s="1">
        <v>6120</v>
      </c>
      <c r="J1931" s="1">
        <v>7200</v>
      </c>
      <c r="K1931" s="1">
        <v>3570</v>
      </c>
    </row>
    <row r="1932" spans="1:11" x14ac:dyDescent="0.35">
      <c r="A1932">
        <v>755674</v>
      </c>
      <c r="B1932">
        <v>2073005</v>
      </c>
      <c r="C1932" t="str">
        <f>"VERIBEST INDEPENDENT SCHOOL DISTRICT"</f>
        <v>VERIBEST INDEPENDENT SCHOOL DISTRICT</v>
      </c>
      <c r="D1932" t="s">
        <v>11</v>
      </c>
      <c r="E1932" t="s">
        <v>1557</v>
      </c>
      <c r="F1932" t="s">
        <v>1558</v>
      </c>
      <c r="G1932">
        <v>76886</v>
      </c>
      <c r="H1932">
        <v>2010</v>
      </c>
      <c r="I1932" s="1">
        <v>0</v>
      </c>
      <c r="J1932" s="1">
        <v>0</v>
      </c>
    </row>
    <row r="1933" spans="1:11" x14ac:dyDescent="0.35">
      <c r="A1933">
        <v>749833</v>
      </c>
      <c r="B1933">
        <v>2034360</v>
      </c>
      <c r="C1933" t="str">
        <f>"VERNON INDEP SCHOOL DISTRICT"</f>
        <v>VERNON INDEP SCHOOL DISTRICT</v>
      </c>
      <c r="D1933" t="s">
        <v>11</v>
      </c>
      <c r="E1933" t="s">
        <v>1559</v>
      </c>
      <c r="F1933" t="s">
        <v>1117</v>
      </c>
      <c r="G1933">
        <v>76384</v>
      </c>
      <c r="H1933">
        <v>2010</v>
      </c>
      <c r="I1933" s="1">
        <v>15349.82</v>
      </c>
      <c r="J1933" s="1">
        <v>18950.400000000001</v>
      </c>
      <c r="K1933" s="1">
        <v>15349.82</v>
      </c>
    </row>
    <row r="1934" spans="1:11" x14ac:dyDescent="0.35">
      <c r="A1934">
        <v>730252</v>
      </c>
      <c r="B1934">
        <v>1975170</v>
      </c>
      <c r="C1934" t="str">
        <f>"VICTORIA INDEP SCHOOL DISTRICT"</f>
        <v>VICTORIA INDEP SCHOOL DISTRICT</v>
      </c>
      <c r="D1934" t="s">
        <v>11</v>
      </c>
      <c r="E1934" t="s">
        <v>1560</v>
      </c>
      <c r="F1934" t="s">
        <v>1561</v>
      </c>
      <c r="G1934">
        <v>77902</v>
      </c>
      <c r="H1934">
        <v>2010</v>
      </c>
      <c r="I1934" s="1">
        <v>131364</v>
      </c>
      <c r="J1934" s="1">
        <v>160200</v>
      </c>
      <c r="K1934" s="1">
        <v>67944</v>
      </c>
    </row>
    <row r="1935" spans="1:11" x14ac:dyDescent="0.35">
      <c r="A1935">
        <v>735651</v>
      </c>
      <c r="B1935">
        <v>1989188</v>
      </c>
      <c r="C1935" t="str">
        <f>"WACO INDEP SCHOOL DISTRICT"</f>
        <v>WACO INDEP SCHOOL DISTRICT</v>
      </c>
      <c r="D1935" t="s">
        <v>11</v>
      </c>
      <c r="E1935" t="s">
        <v>1562</v>
      </c>
      <c r="F1935" t="s">
        <v>303</v>
      </c>
      <c r="G1935">
        <v>76701</v>
      </c>
      <c r="H1935">
        <v>2010</v>
      </c>
      <c r="I1935" s="1">
        <v>57405</v>
      </c>
      <c r="J1935" s="1">
        <v>64500</v>
      </c>
      <c r="K1935" s="1">
        <v>57405</v>
      </c>
    </row>
    <row r="1936" spans="1:11" x14ac:dyDescent="0.35">
      <c r="A1936">
        <v>728737</v>
      </c>
      <c r="B1936">
        <v>2037761</v>
      </c>
      <c r="C1936" t="str">
        <f>"WAELDER INDEP SCHOOL DISTRICT"</f>
        <v>WAELDER INDEP SCHOOL DISTRICT</v>
      </c>
      <c r="D1936" t="s">
        <v>11</v>
      </c>
      <c r="E1936" t="s">
        <v>1563</v>
      </c>
      <c r="F1936" t="s">
        <v>1564</v>
      </c>
      <c r="G1936">
        <v>78959</v>
      </c>
      <c r="H1936">
        <v>2010</v>
      </c>
      <c r="I1936" s="1">
        <v>16092</v>
      </c>
      <c r="J1936" s="1">
        <v>17880</v>
      </c>
    </row>
    <row r="1937" spans="1:11" x14ac:dyDescent="0.35">
      <c r="A1937">
        <v>728737</v>
      </c>
      <c r="B1937">
        <v>2037829</v>
      </c>
      <c r="C1937" t="str">
        <f>"WAELDER INDEP SCHOOL DISTRICT"</f>
        <v>WAELDER INDEP SCHOOL DISTRICT</v>
      </c>
      <c r="D1937" t="s">
        <v>11</v>
      </c>
      <c r="E1937" t="s">
        <v>1563</v>
      </c>
      <c r="F1937" t="s">
        <v>1564</v>
      </c>
      <c r="G1937">
        <v>78959</v>
      </c>
      <c r="H1937">
        <v>2010</v>
      </c>
      <c r="I1937" s="1">
        <v>5063.3100000000004</v>
      </c>
      <c r="J1937" s="1">
        <v>5625.9</v>
      </c>
      <c r="K1937" s="1">
        <v>5063.3100000000004</v>
      </c>
    </row>
    <row r="1938" spans="1:11" x14ac:dyDescent="0.35">
      <c r="A1938">
        <v>732378</v>
      </c>
      <c r="B1938">
        <v>1982604</v>
      </c>
      <c r="C1938" t="str">
        <f>"WALCOTT ELEMENTARY SCHOOL"</f>
        <v>WALCOTT ELEMENTARY SCHOOL</v>
      </c>
      <c r="D1938" t="s">
        <v>11</v>
      </c>
      <c r="E1938" t="s">
        <v>1565</v>
      </c>
      <c r="F1938" t="s">
        <v>693</v>
      </c>
      <c r="G1938">
        <v>79045</v>
      </c>
      <c r="H1938">
        <v>2010</v>
      </c>
      <c r="I1938" s="1">
        <v>2959.97</v>
      </c>
      <c r="J1938" s="1">
        <v>3699.96</v>
      </c>
      <c r="K1938" s="1">
        <v>2959.97</v>
      </c>
    </row>
    <row r="1939" spans="1:11" x14ac:dyDescent="0.35">
      <c r="A1939">
        <v>732378</v>
      </c>
      <c r="B1939">
        <v>1980574</v>
      </c>
      <c r="C1939" t="str">
        <f>"WALCOTT ELEMENTARY SCHOOL"</f>
        <v>WALCOTT ELEMENTARY SCHOOL</v>
      </c>
      <c r="D1939" t="s">
        <v>11</v>
      </c>
      <c r="E1939" t="s">
        <v>1565</v>
      </c>
      <c r="F1939" t="s">
        <v>693</v>
      </c>
      <c r="G1939">
        <v>79045</v>
      </c>
      <c r="H1939">
        <v>2010</v>
      </c>
      <c r="I1939" s="1">
        <v>7711.97</v>
      </c>
      <c r="J1939" s="1">
        <v>9639.9599999999991</v>
      </c>
      <c r="K1939" s="1">
        <v>5312</v>
      </c>
    </row>
    <row r="1940" spans="1:11" x14ac:dyDescent="0.35">
      <c r="A1940">
        <v>722509</v>
      </c>
      <c r="B1940">
        <v>1958902</v>
      </c>
      <c r="C1940" t="str">
        <f>"WALLER INDEP SCHOOL DISTRICT"</f>
        <v>WALLER INDEP SCHOOL DISTRICT</v>
      </c>
      <c r="D1940" t="s">
        <v>11</v>
      </c>
      <c r="E1940" t="s">
        <v>1566</v>
      </c>
      <c r="F1940" t="s">
        <v>1567</v>
      </c>
      <c r="G1940">
        <v>77484</v>
      </c>
      <c r="H1940">
        <v>2010</v>
      </c>
      <c r="I1940" s="1">
        <v>9752.06</v>
      </c>
      <c r="J1940" s="1">
        <v>12831.66</v>
      </c>
      <c r="K1940" s="1">
        <v>9752.06</v>
      </c>
    </row>
    <row r="1941" spans="1:11" x14ac:dyDescent="0.35">
      <c r="A1941">
        <v>722509</v>
      </c>
      <c r="B1941">
        <v>1958914</v>
      </c>
      <c r="C1941" t="str">
        <f>"WALLER INDEP SCHOOL DISTRICT"</f>
        <v>WALLER INDEP SCHOOL DISTRICT</v>
      </c>
      <c r="D1941" t="s">
        <v>11</v>
      </c>
      <c r="E1941" t="s">
        <v>1566</v>
      </c>
      <c r="F1941" t="s">
        <v>1567</v>
      </c>
      <c r="G1941">
        <v>77484</v>
      </c>
      <c r="H1941">
        <v>2010</v>
      </c>
      <c r="I1941" s="1">
        <v>10465.200000000001</v>
      </c>
      <c r="J1941" s="1">
        <v>13770</v>
      </c>
      <c r="K1941" s="1">
        <v>10465.200000000001</v>
      </c>
    </row>
    <row r="1942" spans="1:11" x14ac:dyDescent="0.35">
      <c r="A1942">
        <v>744763</v>
      </c>
      <c r="B1942">
        <v>2013345</v>
      </c>
      <c r="C1942" t="str">
        <f>"WALNUT BEND ISD"</f>
        <v>WALNUT BEND ISD</v>
      </c>
      <c r="D1942" t="s">
        <v>11</v>
      </c>
      <c r="E1942" t="s">
        <v>1568</v>
      </c>
      <c r="F1942" t="s">
        <v>238</v>
      </c>
      <c r="G1942">
        <v>76240</v>
      </c>
      <c r="H1942">
        <v>2010</v>
      </c>
      <c r="I1942" s="1">
        <v>998.4</v>
      </c>
      <c r="J1942" s="1">
        <v>1248</v>
      </c>
      <c r="K1942" s="1">
        <v>998</v>
      </c>
    </row>
    <row r="1943" spans="1:11" x14ac:dyDescent="0.35">
      <c r="A1943">
        <v>744763</v>
      </c>
      <c r="B1943">
        <v>2013364</v>
      </c>
      <c r="C1943" t="str">
        <f>"WALNUT BEND ISD"</f>
        <v>WALNUT BEND ISD</v>
      </c>
      <c r="D1943" t="s">
        <v>11</v>
      </c>
      <c r="E1943" t="s">
        <v>1568</v>
      </c>
      <c r="F1943" t="s">
        <v>238</v>
      </c>
      <c r="G1943">
        <v>76240</v>
      </c>
      <c r="H1943">
        <v>2010</v>
      </c>
      <c r="I1943" s="1">
        <v>799.97</v>
      </c>
      <c r="J1943" s="1">
        <v>999.96</v>
      </c>
      <c r="K1943" s="1">
        <v>799.97</v>
      </c>
    </row>
    <row r="1944" spans="1:11" x14ac:dyDescent="0.35">
      <c r="A1944">
        <v>721162</v>
      </c>
      <c r="B1944">
        <v>1974598</v>
      </c>
      <c r="C1944" t="str">
        <f>"WARREN INDEP SCHOOL DISTRICT"</f>
        <v>WARREN INDEP SCHOOL DISTRICT</v>
      </c>
      <c r="D1944" t="s">
        <v>11</v>
      </c>
      <c r="E1944" t="s">
        <v>1569</v>
      </c>
      <c r="F1944" t="s">
        <v>1570</v>
      </c>
      <c r="G1944">
        <v>77664</v>
      </c>
      <c r="H1944">
        <v>2010</v>
      </c>
      <c r="I1944" s="1">
        <v>3798.09</v>
      </c>
      <c r="J1944" s="1">
        <v>5064.12</v>
      </c>
      <c r="K1944" s="1">
        <v>3798.09</v>
      </c>
    </row>
    <row r="1945" spans="1:11" x14ac:dyDescent="0.35">
      <c r="A1945">
        <v>721610</v>
      </c>
      <c r="B1945">
        <v>1957212</v>
      </c>
      <c r="C1945" t="str">
        <f>"WASKOM INDEP SCHOOL DISTRICT"</f>
        <v>WASKOM INDEP SCHOOL DISTRICT</v>
      </c>
      <c r="D1945" t="s">
        <v>11</v>
      </c>
      <c r="E1945" t="s">
        <v>1571</v>
      </c>
      <c r="F1945" t="s">
        <v>1572</v>
      </c>
      <c r="G1945">
        <v>75692</v>
      </c>
      <c r="H1945">
        <v>2010</v>
      </c>
      <c r="I1945" s="1">
        <v>7680</v>
      </c>
      <c r="J1945" s="1">
        <v>9600</v>
      </c>
      <c r="K1945" s="1">
        <v>6363.6</v>
      </c>
    </row>
    <row r="1946" spans="1:11" x14ac:dyDescent="0.35">
      <c r="A1946">
        <v>760300</v>
      </c>
      <c r="B1946">
        <v>2055421</v>
      </c>
      <c r="C1946" t="str">
        <f>"WATER VALLEY INDEP SCHOOL DIST"</f>
        <v>WATER VALLEY INDEP SCHOOL DIST</v>
      </c>
      <c r="D1946" t="s">
        <v>11</v>
      </c>
      <c r="E1946" t="s">
        <v>1573</v>
      </c>
      <c r="F1946" t="s">
        <v>1574</v>
      </c>
      <c r="G1946">
        <v>76958</v>
      </c>
      <c r="H1946">
        <v>2010</v>
      </c>
      <c r="I1946" s="1">
        <v>765</v>
      </c>
      <c r="J1946" s="1">
        <v>1275</v>
      </c>
      <c r="K1946" s="1">
        <v>765</v>
      </c>
    </row>
    <row r="1947" spans="1:11" x14ac:dyDescent="0.35">
      <c r="A1947">
        <v>739239</v>
      </c>
      <c r="B1947">
        <v>1997393</v>
      </c>
      <c r="C1947" t="str">
        <f>"WAXAHACHIE INDEP SCHOOL DIST"</f>
        <v>WAXAHACHIE INDEP SCHOOL DIST</v>
      </c>
      <c r="D1947" t="s">
        <v>11</v>
      </c>
      <c r="E1947" t="s">
        <v>1575</v>
      </c>
      <c r="F1947" t="s">
        <v>1576</v>
      </c>
      <c r="G1947">
        <v>75165</v>
      </c>
      <c r="H1947">
        <v>2010</v>
      </c>
      <c r="I1947" s="1">
        <v>28403.57</v>
      </c>
      <c r="J1947" s="1">
        <v>41769.96</v>
      </c>
      <c r="K1947" s="1">
        <v>28403.57</v>
      </c>
    </row>
    <row r="1948" spans="1:11" x14ac:dyDescent="0.35">
      <c r="A1948">
        <v>739239</v>
      </c>
      <c r="B1948">
        <v>1997737</v>
      </c>
      <c r="C1948" t="str">
        <f>"WAXAHACHIE INDEP SCHOOL DIST"</f>
        <v>WAXAHACHIE INDEP SCHOOL DIST</v>
      </c>
      <c r="D1948" t="s">
        <v>11</v>
      </c>
      <c r="E1948" t="s">
        <v>1575</v>
      </c>
      <c r="F1948" t="s">
        <v>1576</v>
      </c>
      <c r="G1948">
        <v>75165</v>
      </c>
      <c r="H1948">
        <v>2010</v>
      </c>
      <c r="I1948" s="1">
        <v>5324.4</v>
      </c>
      <c r="J1948" s="1">
        <v>7830</v>
      </c>
      <c r="K1948" s="1">
        <v>5324.4</v>
      </c>
    </row>
    <row r="1949" spans="1:11" x14ac:dyDescent="0.35">
      <c r="A1949">
        <v>736570</v>
      </c>
      <c r="B1949">
        <v>1990339</v>
      </c>
      <c r="C1949" t="str">
        <f>"WEATHERFORD INDEP SCHOOL DIST"</f>
        <v>WEATHERFORD INDEP SCHOOL DIST</v>
      </c>
      <c r="D1949" t="s">
        <v>11</v>
      </c>
      <c r="E1949" t="s">
        <v>1577</v>
      </c>
      <c r="F1949" t="s">
        <v>388</v>
      </c>
      <c r="G1949">
        <v>76086</v>
      </c>
      <c r="H1949">
        <v>2010</v>
      </c>
      <c r="I1949" s="1">
        <v>818.4</v>
      </c>
      <c r="J1949" s="1">
        <v>7967.52</v>
      </c>
      <c r="K1949" s="1">
        <v>818.4</v>
      </c>
    </row>
    <row r="1950" spans="1:11" x14ac:dyDescent="0.35">
      <c r="A1950">
        <v>736570</v>
      </c>
      <c r="B1950">
        <v>1990348</v>
      </c>
      <c r="C1950" t="str">
        <f>"WEATHERFORD INDEP SCHOOL DIST"</f>
        <v>WEATHERFORD INDEP SCHOOL DIST</v>
      </c>
      <c r="D1950" t="s">
        <v>11</v>
      </c>
      <c r="E1950" t="s">
        <v>1577</v>
      </c>
      <c r="F1950" t="s">
        <v>388</v>
      </c>
      <c r="G1950">
        <v>76086</v>
      </c>
      <c r="H1950">
        <v>2010</v>
      </c>
      <c r="I1950" s="1">
        <v>18600</v>
      </c>
      <c r="J1950" s="1">
        <v>30000</v>
      </c>
      <c r="K1950" s="1">
        <v>18600</v>
      </c>
    </row>
    <row r="1951" spans="1:11" x14ac:dyDescent="0.35">
      <c r="A1951">
        <v>747694</v>
      </c>
      <c r="B1951">
        <v>2019069</v>
      </c>
      <c r="C1951" t="str">
        <f>"WEBB CONSOL INDEP SCHOOL DIST"</f>
        <v>WEBB CONSOL INDEP SCHOOL DIST</v>
      </c>
      <c r="D1951" t="s">
        <v>11</v>
      </c>
      <c r="E1951" t="s">
        <v>1578</v>
      </c>
      <c r="F1951" t="s">
        <v>1579</v>
      </c>
      <c r="G1951">
        <v>78344</v>
      </c>
      <c r="H1951">
        <v>2010</v>
      </c>
      <c r="I1951" s="1">
        <v>26784</v>
      </c>
      <c r="J1951" s="1">
        <v>33480</v>
      </c>
      <c r="K1951" s="1">
        <v>26784</v>
      </c>
    </row>
    <row r="1952" spans="1:11" x14ac:dyDescent="0.35">
      <c r="A1952">
        <v>728865</v>
      </c>
      <c r="B1952">
        <v>2018335</v>
      </c>
      <c r="C1952" t="str">
        <f>"WEIMAR INDEP SCHOOL DISTRICT"</f>
        <v>WEIMAR INDEP SCHOOL DISTRICT</v>
      </c>
      <c r="D1952" t="s">
        <v>11</v>
      </c>
      <c r="E1952" t="s">
        <v>1580</v>
      </c>
      <c r="F1952" t="s">
        <v>1581</v>
      </c>
      <c r="G1952">
        <v>78962</v>
      </c>
      <c r="H1952">
        <v>2010</v>
      </c>
      <c r="I1952" s="1">
        <v>12207.94</v>
      </c>
      <c r="J1952" s="1">
        <v>16723.2</v>
      </c>
      <c r="K1952" s="1">
        <v>12207.94</v>
      </c>
    </row>
    <row r="1953" spans="1:11" x14ac:dyDescent="0.35">
      <c r="A1953">
        <v>728865</v>
      </c>
      <c r="B1953">
        <v>2018255</v>
      </c>
      <c r="C1953" t="str">
        <f>"WEIMAR INDEP SCHOOL DISTRICT"</f>
        <v>WEIMAR INDEP SCHOOL DISTRICT</v>
      </c>
      <c r="D1953" t="s">
        <v>11</v>
      </c>
      <c r="E1953" t="s">
        <v>1580</v>
      </c>
      <c r="F1953" t="s">
        <v>1581</v>
      </c>
      <c r="G1953">
        <v>78962</v>
      </c>
      <c r="H1953">
        <v>2010</v>
      </c>
      <c r="I1953" s="1">
        <v>219</v>
      </c>
      <c r="J1953" s="1">
        <v>300</v>
      </c>
      <c r="K1953" s="1">
        <v>219</v>
      </c>
    </row>
    <row r="1954" spans="1:11" x14ac:dyDescent="0.35">
      <c r="A1954">
        <v>728865</v>
      </c>
      <c r="B1954">
        <v>2018229</v>
      </c>
      <c r="C1954" t="str">
        <f>"WEIMAR INDEP SCHOOL DISTRICT"</f>
        <v>WEIMAR INDEP SCHOOL DISTRICT</v>
      </c>
      <c r="D1954" t="s">
        <v>11</v>
      </c>
      <c r="E1954" t="s">
        <v>1580</v>
      </c>
      <c r="F1954" t="s">
        <v>1581</v>
      </c>
      <c r="G1954">
        <v>78962</v>
      </c>
      <c r="H1954">
        <v>2010</v>
      </c>
      <c r="I1954" s="1">
        <v>6570</v>
      </c>
      <c r="J1954" s="1">
        <v>9000</v>
      </c>
      <c r="K1954" s="1">
        <v>5986</v>
      </c>
    </row>
    <row r="1955" spans="1:11" x14ac:dyDescent="0.35">
      <c r="A1955">
        <v>763689</v>
      </c>
      <c r="B1955">
        <v>2063623</v>
      </c>
      <c r="C1955" t="str">
        <f>"WELLINGTON INDEP SCHOOL DIST"</f>
        <v>WELLINGTON INDEP SCHOOL DIST</v>
      </c>
      <c r="D1955" t="s">
        <v>11</v>
      </c>
      <c r="E1955" t="s">
        <v>1582</v>
      </c>
      <c r="F1955" t="s">
        <v>1583</v>
      </c>
      <c r="G1955">
        <v>79095</v>
      </c>
      <c r="H1955">
        <v>2010</v>
      </c>
      <c r="I1955" s="1">
        <v>0</v>
      </c>
      <c r="J1955" s="1">
        <v>0</v>
      </c>
    </row>
    <row r="1956" spans="1:11" x14ac:dyDescent="0.35">
      <c r="A1956">
        <v>753064</v>
      </c>
      <c r="B1956">
        <v>2035372</v>
      </c>
      <c r="C1956" t="str">
        <f>"WELLINGTON INDEP SCHOOL DIST"</f>
        <v>WELLINGTON INDEP SCHOOL DIST</v>
      </c>
      <c r="D1956" t="s">
        <v>11</v>
      </c>
      <c r="E1956" t="s">
        <v>1582</v>
      </c>
      <c r="F1956" t="s">
        <v>1583</v>
      </c>
      <c r="G1956">
        <v>79095</v>
      </c>
      <c r="H1956">
        <v>2010</v>
      </c>
      <c r="I1956" s="1">
        <v>14112</v>
      </c>
      <c r="J1956" s="1">
        <v>17640</v>
      </c>
      <c r="K1956" s="1">
        <v>13045.33</v>
      </c>
    </row>
    <row r="1957" spans="1:11" x14ac:dyDescent="0.35">
      <c r="A1957">
        <v>753064</v>
      </c>
      <c r="B1957">
        <v>2035194</v>
      </c>
      <c r="C1957" t="str">
        <f>"WELLINGTON INDEP SCHOOL DIST"</f>
        <v>WELLINGTON INDEP SCHOOL DIST</v>
      </c>
      <c r="D1957" t="s">
        <v>11</v>
      </c>
      <c r="E1957" t="s">
        <v>1582</v>
      </c>
      <c r="F1957" t="s">
        <v>1583</v>
      </c>
      <c r="G1957">
        <v>79095</v>
      </c>
      <c r="H1957">
        <v>2010</v>
      </c>
      <c r="I1957" s="1">
        <v>5919.94</v>
      </c>
      <c r="J1957" s="1">
        <v>7399.92</v>
      </c>
      <c r="K1957" s="1">
        <v>5919.94</v>
      </c>
    </row>
    <row r="1958" spans="1:11" x14ac:dyDescent="0.35">
      <c r="A1958">
        <v>733901</v>
      </c>
      <c r="B1958">
        <v>1984520</v>
      </c>
      <c r="C1958" t="str">
        <f>"WELLMAN UNION SCHOOL"</f>
        <v>WELLMAN UNION SCHOOL</v>
      </c>
      <c r="D1958" t="s">
        <v>11</v>
      </c>
      <c r="E1958" t="s">
        <v>1584</v>
      </c>
      <c r="F1958" t="s">
        <v>1585</v>
      </c>
      <c r="G1958">
        <v>79378</v>
      </c>
      <c r="H1958">
        <v>2010</v>
      </c>
      <c r="I1958" s="1">
        <v>1278.9000000000001</v>
      </c>
      <c r="J1958" s="1">
        <v>1827</v>
      </c>
      <c r="K1958" s="1">
        <v>1278.8699999999999</v>
      </c>
    </row>
    <row r="1959" spans="1:11" x14ac:dyDescent="0.35">
      <c r="A1959">
        <v>733901</v>
      </c>
      <c r="B1959">
        <v>1984519</v>
      </c>
      <c r="C1959" t="str">
        <f>"WELLMAN UNION SCHOOL"</f>
        <v>WELLMAN UNION SCHOOL</v>
      </c>
      <c r="D1959" t="s">
        <v>11</v>
      </c>
      <c r="E1959" t="s">
        <v>1584</v>
      </c>
      <c r="F1959" t="s">
        <v>1585</v>
      </c>
      <c r="G1959">
        <v>79378</v>
      </c>
      <c r="H1959">
        <v>2010</v>
      </c>
      <c r="I1959" s="1">
        <v>4830</v>
      </c>
      <c r="J1959" s="1">
        <v>6900</v>
      </c>
      <c r="K1959" s="1">
        <v>4760</v>
      </c>
    </row>
    <row r="1960" spans="1:11" x14ac:dyDescent="0.35">
      <c r="A1960">
        <v>723357</v>
      </c>
      <c r="B1960">
        <v>1960397</v>
      </c>
      <c r="C1960" t="str">
        <f>"WELLS INDEP SCHOOL DISTRICT"</f>
        <v>WELLS INDEP SCHOOL DISTRICT</v>
      </c>
      <c r="D1960" t="s">
        <v>11</v>
      </c>
      <c r="E1960" t="s">
        <v>1586</v>
      </c>
      <c r="F1960" t="s">
        <v>1587</v>
      </c>
      <c r="G1960">
        <v>75976</v>
      </c>
      <c r="H1960">
        <v>2010</v>
      </c>
      <c r="I1960" s="1">
        <v>11024.64</v>
      </c>
      <c r="J1960" s="1">
        <v>12672</v>
      </c>
      <c r="K1960" s="1">
        <v>6264</v>
      </c>
    </row>
    <row r="1961" spans="1:11" x14ac:dyDescent="0.35">
      <c r="A1961">
        <v>756163</v>
      </c>
      <c r="B1961">
        <v>2043514</v>
      </c>
      <c r="C1961" t="str">
        <f>"WESLACO INDEP SCHOOL DISTRICT"</f>
        <v>WESLACO INDEP SCHOOL DISTRICT</v>
      </c>
      <c r="D1961" t="s">
        <v>11</v>
      </c>
      <c r="E1961" t="s">
        <v>1588</v>
      </c>
      <c r="F1961" t="s">
        <v>1487</v>
      </c>
      <c r="G1961">
        <v>78596</v>
      </c>
      <c r="H1961">
        <v>2010</v>
      </c>
      <c r="I1961" s="1">
        <v>64806.239999999998</v>
      </c>
      <c r="J1961" s="1">
        <v>72816</v>
      </c>
      <c r="K1961" s="1">
        <v>64806.239999999998</v>
      </c>
    </row>
    <row r="1962" spans="1:11" x14ac:dyDescent="0.35">
      <c r="A1962">
        <v>753608</v>
      </c>
      <c r="B1962">
        <v>2037002</v>
      </c>
      <c r="C1962" t="str">
        <f>"WEST INDEP SCHOOL DISTRICT"</f>
        <v>WEST INDEP SCHOOL DISTRICT</v>
      </c>
      <c r="D1962" t="s">
        <v>11</v>
      </c>
      <c r="E1962" t="s">
        <v>1589</v>
      </c>
      <c r="F1962" t="s">
        <v>1590</v>
      </c>
      <c r="G1962">
        <v>76691</v>
      </c>
      <c r="H1962">
        <v>2010</v>
      </c>
      <c r="I1962" s="1">
        <v>11340</v>
      </c>
      <c r="J1962" s="1">
        <v>18000</v>
      </c>
      <c r="K1962" s="1">
        <v>11340</v>
      </c>
    </row>
    <row r="1963" spans="1:11" x14ac:dyDescent="0.35">
      <c r="A1963">
        <v>753608</v>
      </c>
      <c r="B1963">
        <v>2037044</v>
      </c>
      <c r="C1963" t="str">
        <f>"WEST INDEP SCHOOL DISTRICT"</f>
        <v>WEST INDEP SCHOOL DISTRICT</v>
      </c>
      <c r="D1963" t="s">
        <v>11</v>
      </c>
      <c r="E1963" t="s">
        <v>1589</v>
      </c>
      <c r="F1963" t="s">
        <v>1590</v>
      </c>
      <c r="G1963">
        <v>76691</v>
      </c>
      <c r="H1963">
        <v>2010</v>
      </c>
      <c r="I1963" s="1">
        <v>0</v>
      </c>
      <c r="J1963" s="1">
        <v>0</v>
      </c>
    </row>
    <row r="1964" spans="1:11" x14ac:dyDescent="0.35">
      <c r="A1964">
        <v>738796</v>
      </c>
      <c r="B1964">
        <v>2016961</v>
      </c>
      <c r="C1964" t="str">
        <f>"WEST ORANGE-COVE CONS SCH DIST"</f>
        <v>WEST ORANGE-COVE CONS SCH DIST</v>
      </c>
      <c r="D1964" t="s">
        <v>11</v>
      </c>
      <c r="E1964" t="s">
        <v>1591</v>
      </c>
      <c r="F1964" t="s">
        <v>902</v>
      </c>
      <c r="G1964">
        <v>77630</v>
      </c>
      <c r="H1964">
        <v>2010</v>
      </c>
      <c r="I1964" s="1">
        <v>5222.6099999999997</v>
      </c>
      <c r="J1964" s="1">
        <v>6003</v>
      </c>
      <c r="K1964" s="1">
        <v>2910.15</v>
      </c>
    </row>
    <row r="1965" spans="1:11" x14ac:dyDescent="0.35">
      <c r="A1965">
        <v>724506</v>
      </c>
      <c r="B1965">
        <v>1982243</v>
      </c>
      <c r="C1965" t="str">
        <f>"WEST OSO INDEP SCHOOL DISTRICT"</f>
        <v>WEST OSO INDEP SCHOOL DISTRICT</v>
      </c>
      <c r="D1965" t="s">
        <v>11</v>
      </c>
      <c r="E1965" t="s">
        <v>1592</v>
      </c>
      <c r="F1965" t="s">
        <v>232</v>
      </c>
      <c r="G1965">
        <v>78416</v>
      </c>
      <c r="H1965">
        <v>2010</v>
      </c>
      <c r="I1965" s="1">
        <v>13508.96</v>
      </c>
      <c r="J1965" s="1">
        <v>15009.96</v>
      </c>
      <c r="K1965" s="1">
        <v>13508.96</v>
      </c>
    </row>
    <row r="1966" spans="1:11" x14ac:dyDescent="0.35">
      <c r="A1966">
        <v>724506</v>
      </c>
      <c r="B1966">
        <v>1982315</v>
      </c>
      <c r="C1966" t="str">
        <f>"WEST OSO INDEP SCHOOL DISTRICT"</f>
        <v>WEST OSO INDEP SCHOOL DISTRICT</v>
      </c>
      <c r="D1966" t="s">
        <v>11</v>
      </c>
      <c r="E1966" t="s">
        <v>1592</v>
      </c>
      <c r="F1966" t="s">
        <v>232</v>
      </c>
      <c r="G1966">
        <v>78416</v>
      </c>
      <c r="H1966">
        <v>2010</v>
      </c>
      <c r="I1966" s="1">
        <v>0</v>
      </c>
      <c r="J1966" s="1">
        <v>0</v>
      </c>
    </row>
    <row r="1967" spans="1:11" x14ac:dyDescent="0.35">
      <c r="A1967">
        <v>768922</v>
      </c>
      <c r="B1967">
        <v>2080061</v>
      </c>
      <c r="C1967" t="str">
        <f>"WEST RUSK ISD"</f>
        <v>WEST RUSK ISD</v>
      </c>
      <c r="D1967" t="s">
        <v>11</v>
      </c>
      <c r="E1967" t="s">
        <v>1593</v>
      </c>
      <c r="F1967" t="s">
        <v>1594</v>
      </c>
      <c r="G1967">
        <v>75682</v>
      </c>
      <c r="H1967">
        <v>2010</v>
      </c>
      <c r="I1967" s="1">
        <v>8514</v>
      </c>
      <c r="J1967" s="1">
        <v>9900</v>
      </c>
      <c r="K1967" s="1">
        <v>8514</v>
      </c>
    </row>
    <row r="1968" spans="1:11" x14ac:dyDescent="0.35">
      <c r="A1968">
        <v>732310</v>
      </c>
      <c r="B1968">
        <v>1980393</v>
      </c>
      <c r="C1968" t="str">
        <f>"WESTHOFF INDEP SCHOOL DIST"</f>
        <v>WESTHOFF INDEP SCHOOL DIST</v>
      </c>
      <c r="D1968" t="s">
        <v>11</v>
      </c>
      <c r="E1968" t="s">
        <v>1595</v>
      </c>
      <c r="F1968" t="s">
        <v>1596</v>
      </c>
      <c r="G1968">
        <v>77994</v>
      </c>
      <c r="H1968">
        <v>2010</v>
      </c>
      <c r="I1968" s="1">
        <v>240</v>
      </c>
      <c r="J1968" s="1">
        <v>300</v>
      </c>
      <c r="K1968" s="1">
        <v>240</v>
      </c>
    </row>
    <row r="1969" spans="1:11" x14ac:dyDescent="0.35">
      <c r="A1969">
        <v>732310</v>
      </c>
      <c r="B1969">
        <v>1980383</v>
      </c>
      <c r="C1969" t="str">
        <f>"WESTHOFF INDEP SCHOOL DIST"</f>
        <v>WESTHOFF INDEP SCHOOL DIST</v>
      </c>
      <c r="D1969" t="s">
        <v>11</v>
      </c>
      <c r="E1969" t="s">
        <v>1595</v>
      </c>
      <c r="F1969" t="s">
        <v>1596</v>
      </c>
      <c r="G1969">
        <v>77994</v>
      </c>
      <c r="H1969">
        <v>2010</v>
      </c>
      <c r="I1969" s="1">
        <v>400.03</v>
      </c>
      <c r="J1969" s="1">
        <v>500.04</v>
      </c>
      <c r="K1969" s="1">
        <v>400</v>
      </c>
    </row>
    <row r="1970" spans="1:11" x14ac:dyDescent="0.35">
      <c r="A1970">
        <v>732310</v>
      </c>
      <c r="B1970">
        <v>1980370</v>
      </c>
      <c r="C1970" t="str">
        <f>"WESTHOFF INDEP SCHOOL DIST"</f>
        <v>WESTHOFF INDEP SCHOOL DIST</v>
      </c>
      <c r="D1970" t="s">
        <v>11</v>
      </c>
      <c r="E1970" t="s">
        <v>1595</v>
      </c>
      <c r="F1970" t="s">
        <v>1596</v>
      </c>
      <c r="G1970">
        <v>77994</v>
      </c>
      <c r="H1970">
        <v>2010</v>
      </c>
      <c r="I1970" s="1">
        <v>7200</v>
      </c>
      <c r="J1970" s="1">
        <v>9000</v>
      </c>
      <c r="K1970" s="1">
        <v>6560</v>
      </c>
    </row>
    <row r="1971" spans="1:11" x14ac:dyDescent="0.35">
      <c r="A1971">
        <v>753465</v>
      </c>
      <c r="B1971">
        <v>2077324</v>
      </c>
      <c r="C1971" t="str">
        <f>"WESTPHALIA INDEP SCHOOL DIST"</f>
        <v>WESTPHALIA INDEP SCHOOL DIST</v>
      </c>
      <c r="D1971" t="s">
        <v>11</v>
      </c>
      <c r="E1971" t="s">
        <v>1597</v>
      </c>
      <c r="F1971" t="s">
        <v>1598</v>
      </c>
      <c r="G1971">
        <v>76656</v>
      </c>
      <c r="H1971">
        <v>2010</v>
      </c>
      <c r="I1971" s="1">
        <v>8244</v>
      </c>
      <c r="J1971" s="1">
        <v>13740</v>
      </c>
      <c r="K1971" s="1">
        <v>8244</v>
      </c>
    </row>
    <row r="1972" spans="1:11" x14ac:dyDescent="0.35">
      <c r="A1972">
        <v>753963</v>
      </c>
      <c r="B1972">
        <v>2037612</v>
      </c>
      <c r="C1972" t="str">
        <f>"WESTWOOD INDEP SCHOOL DIST"</f>
        <v>WESTWOOD INDEP SCHOOL DIST</v>
      </c>
      <c r="D1972" t="s">
        <v>11</v>
      </c>
      <c r="E1972" t="s">
        <v>1599</v>
      </c>
      <c r="F1972" t="s">
        <v>1143</v>
      </c>
      <c r="G1972">
        <v>75801</v>
      </c>
      <c r="H1972">
        <v>2010</v>
      </c>
      <c r="I1972" s="1">
        <v>1443.75</v>
      </c>
      <c r="J1972" s="1">
        <v>1875</v>
      </c>
      <c r="K1972" s="1">
        <v>1443.75</v>
      </c>
    </row>
    <row r="1973" spans="1:11" x14ac:dyDescent="0.35">
      <c r="A1973">
        <v>753808</v>
      </c>
      <c r="B1973">
        <v>2037097</v>
      </c>
      <c r="C1973" t="str">
        <f>"WESTWOOD INDEP SCHOOL DIST"</f>
        <v>WESTWOOD INDEP SCHOOL DIST</v>
      </c>
      <c r="D1973" t="s">
        <v>11</v>
      </c>
      <c r="E1973" t="s">
        <v>1599</v>
      </c>
      <c r="F1973" t="s">
        <v>1143</v>
      </c>
      <c r="G1973">
        <v>75801</v>
      </c>
      <c r="H1973">
        <v>2010</v>
      </c>
      <c r="I1973" s="1">
        <v>34539.120000000003</v>
      </c>
      <c r="J1973" s="1">
        <v>44856</v>
      </c>
      <c r="K1973" s="1">
        <v>33963.47</v>
      </c>
    </row>
    <row r="1974" spans="1:11" x14ac:dyDescent="0.35">
      <c r="A1974">
        <v>752646</v>
      </c>
      <c r="B1974">
        <v>2035347</v>
      </c>
      <c r="C1974" t="str">
        <f>"WESTWOOD INDEP SCHOOL DIST"</f>
        <v>WESTWOOD INDEP SCHOOL DIST</v>
      </c>
      <c r="D1974" t="s">
        <v>11</v>
      </c>
      <c r="E1974" t="s">
        <v>1599</v>
      </c>
      <c r="F1974" t="s">
        <v>1143</v>
      </c>
      <c r="G1974">
        <v>75801</v>
      </c>
      <c r="H1974">
        <v>2010</v>
      </c>
      <c r="I1974" s="1">
        <v>4988.58</v>
      </c>
      <c r="J1974" s="1">
        <v>6478.68</v>
      </c>
      <c r="K1974" s="1">
        <v>4988.58</v>
      </c>
    </row>
    <row r="1975" spans="1:11" x14ac:dyDescent="0.35">
      <c r="A1975">
        <v>726148</v>
      </c>
      <c r="B1975">
        <v>2042067</v>
      </c>
      <c r="C1975" t="str">
        <f>"WHARTON INDEP SCHOOL DISTRICT"</f>
        <v>WHARTON INDEP SCHOOL DISTRICT</v>
      </c>
      <c r="D1975" t="s">
        <v>11</v>
      </c>
      <c r="E1975" t="s">
        <v>1600</v>
      </c>
      <c r="F1975" t="s">
        <v>1601</v>
      </c>
      <c r="G1975">
        <v>77488</v>
      </c>
      <c r="H1975">
        <v>2010</v>
      </c>
      <c r="I1975" s="1">
        <v>7560</v>
      </c>
      <c r="J1975" s="1">
        <v>9000</v>
      </c>
      <c r="K1975" s="1">
        <v>6724</v>
      </c>
    </row>
    <row r="1976" spans="1:11" x14ac:dyDescent="0.35">
      <c r="A1976">
        <v>726148</v>
      </c>
      <c r="B1976">
        <v>2054305</v>
      </c>
      <c r="C1976" t="str">
        <f>"WHARTON INDEP SCHOOL DISTRICT"</f>
        <v>WHARTON INDEP SCHOOL DISTRICT</v>
      </c>
      <c r="D1976" t="s">
        <v>11</v>
      </c>
      <c r="E1976" t="s">
        <v>1600</v>
      </c>
      <c r="F1976" t="s">
        <v>1601</v>
      </c>
      <c r="G1976">
        <v>77488</v>
      </c>
      <c r="H1976">
        <v>2010</v>
      </c>
      <c r="I1976" s="1">
        <v>4956</v>
      </c>
      <c r="J1976" s="1">
        <v>5900</v>
      </c>
      <c r="K1976" s="1">
        <v>4956</v>
      </c>
    </row>
    <row r="1977" spans="1:11" x14ac:dyDescent="0.35">
      <c r="A1977">
        <v>726148</v>
      </c>
      <c r="B1977">
        <v>2054291</v>
      </c>
      <c r="C1977" t="str">
        <f>"WHARTON INDEP SCHOOL DISTRICT"</f>
        <v>WHARTON INDEP SCHOOL DISTRICT</v>
      </c>
      <c r="D1977" t="s">
        <v>11</v>
      </c>
      <c r="E1977" t="s">
        <v>1600</v>
      </c>
      <c r="F1977" t="s">
        <v>1601</v>
      </c>
      <c r="G1977">
        <v>77488</v>
      </c>
      <c r="H1977">
        <v>2010</v>
      </c>
      <c r="I1977" s="1">
        <v>3288.6</v>
      </c>
      <c r="J1977" s="1">
        <v>3915</v>
      </c>
      <c r="K1977" s="1">
        <v>3288.6</v>
      </c>
    </row>
    <row r="1978" spans="1:11" x14ac:dyDescent="0.35">
      <c r="A1978">
        <v>726148</v>
      </c>
      <c r="B1978">
        <v>2042004</v>
      </c>
      <c r="C1978" t="str">
        <f>"WHARTON INDEP SCHOOL DISTRICT"</f>
        <v>WHARTON INDEP SCHOOL DISTRICT</v>
      </c>
      <c r="D1978" t="s">
        <v>11</v>
      </c>
      <c r="E1978" t="s">
        <v>1600</v>
      </c>
      <c r="F1978" t="s">
        <v>1601</v>
      </c>
      <c r="G1978">
        <v>77488</v>
      </c>
      <c r="H1978">
        <v>2010</v>
      </c>
      <c r="I1978" s="1">
        <v>12499.2</v>
      </c>
      <c r="J1978" s="1">
        <v>14880</v>
      </c>
      <c r="K1978" s="1">
        <v>9398.59</v>
      </c>
    </row>
    <row r="1979" spans="1:11" x14ac:dyDescent="0.35">
      <c r="A1979">
        <v>748094</v>
      </c>
      <c r="B1979">
        <v>2061141</v>
      </c>
      <c r="C1979" t="str">
        <f>"WHEELER INDEP SCHOOL DISTRICT"</f>
        <v>WHEELER INDEP SCHOOL DISTRICT</v>
      </c>
      <c r="D1979" t="s">
        <v>11</v>
      </c>
      <c r="E1979" t="s">
        <v>1602</v>
      </c>
      <c r="F1979" t="s">
        <v>796</v>
      </c>
      <c r="G1979">
        <v>79096</v>
      </c>
      <c r="H1979">
        <v>2010</v>
      </c>
      <c r="I1979" s="1">
        <v>0</v>
      </c>
      <c r="J1979" s="1">
        <v>0</v>
      </c>
    </row>
    <row r="1980" spans="1:11" x14ac:dyDescent="0.35">
      <c r="A1980">
        <v>748094</v>
      </c>
      <c r="B1980">
        <v>2060111</v>
      </c>
      <c r="C1980" t="str">
        <f>"WHEELER INDEP SCHOOL DISTRICT"</f>
        <v>WHEELER INDEP SCHOOL DISTRICT</v>
      </c>
      <c r="D1980" t="s">
        <v>11</v>
      </c>
      <c r="E1980" t="s">
        <v>1602</v>
      </c>
      <c r="F1980" t="s">
        <v>796</v>
      </c>
      <c r="G1980">
        <v>79096</v>
      </c>
      <c r="H1980">
        <v>2010</v>
      </c>
      <c r="I1980" s="1">
        <v>0</v>
      </c>
      <c r="J1980" s="1">
        <v>0</v>
      </c>
    </row>
    <row r="1981" spans="1:11" x14ac:dyDescent="0.35">
      <c r="A1981">
        <v>748094</v>
      </c>
      <c r="B1981">
        <v>2059716</v>
      </c>
      <c r="C1981" t="str">
        <f>"WHEELER INDEP SCHOOL DISTRICT"</f>
        <v>WHEELER INDEP SCHOOL DISTRICT</v>
      </c>
      <c r="D1981" t="s">
        <v>11</v>
      </c>
      <c r="E1981" t="s">
        <v>1602</v>
      </c>
      <c r="F1981" t="s">
        <v>796</v>
      </c>
      <c r="G1981">
        <v>79096</v>
      </c>
      <c r="H1981">
        <v>2010</v>
      </c>
      <c r="I1981" s="1">
        <v>0</v>
      </c>
      <c r="J1981" s="1">
        <v>0</v>
      </c>
    </row>
    <row r="1982" spans="1:11" x14ac:dyDescent="0.35">
      <c r="A1982">
        <v>748094</v>
      </c>
      <c r="B1982">
        <v>2059524</v>
      </c>
      <c r="C1982" t="str">
        <f>"WHEELER INDEP SCHOOL DISTRICT"</f>
        <v>WHEELER INDEP SCHOOL DISTRICT</v>
      </c>
      <c r="D1982" t="s">
        <v>11</v>
      </c>
      <c r="E1982" t="s">
        <v>1602</v>
      </c>
      <c r="F1982" t="s">
        <v>796</v>
      </c>
      <c r="G1982">
        <v>79096</v>
      </c>
      <c r="H1982">
        <v>2010</v>
      </c>
      <c r="I1982" s="1">
        <v>13503</v>
      </c>
      <c r="J1982" s="1">
        <v>19290</v>
      </c>
      <c r="K1982" s="1">
        <v>8323</v>
      </c>
    </row>
    <row r="1983" spans="1:11" x14ac:dyDescent="0.35">
      <c r="A1983">
        <v>746811</v>
      </c>
      <c r="B1983">
        <v>2017793</v>
      </c>
      <c r="C1983" t="str">
        <f>"WHITE DEER INDEP SCHOOL DIST"</f>
        <v>WHITE DEER INDEP SCHOOL DIST</v>
      </c>
      <c r="D1983" t="s">
        <v>11</v>
      </c>
      <c r="E1983" t="s">
        <v>1603</v>
      </c>
      <c r="F1983" t="s">
        <v>1604</v>
      </c>
      <c r="G1983">
        <v>79097</v>
      </c>
      <c r="H1983">
        <v>2010</v>
      </c>
      <c r="I1983" s="1">
        <v>4690.05</v>
      </c>
      <c r="J1983" s="1">
        <v>7000.08</v>
      </c>
      <c r="K1983" s="1">
        <v>4448.8</v>
      </c>
    </row>
    <row r="1984" spans="1:11" x14ac:dyDescent="0.35">
      <c r="A1984">
        <v>746811</v>
      </c>
      <c r="B1984">
        <v>2017701</v>
      </c>
      <c r="C1984" t="str">
        <f>"WHITE DEER INDEP SCHOOL DIST"</f>
        <v>WHITE DEER INDEP SCHOOL DIST</v>
      </c>
      <c r="D1984" t="s">
        <v>11</v>
      </c>
      <c r="E1984" t="s">
        <v>1603</v>
      </c>
      <c r="F1984" t="s">
        <v>1604</v>
      </c>
      <c r="G1984">
        <v>79097</v>
      </c>
      <c r="H1984">
        <v>2010</v>
      </c>
      <c r="I1984" s="1">
        <v>722.8</v>
      </c>
      <c r="J1984" s="1">
        <v>1078.8</v>
      </c>
      <c r="K1984" s="1">
        <v>722.8</v>
      </c>
    </row>
    <row r="1985" spans="1:11" x14ac:dyDescent="0.35">
      <c r="A1985">
        <v>723948</v>
      </c>
      <c r="B1985">
        <v>1968871</v>
      </c>
      <c r="C1985" t="str">
        <f>"WHITE OAK INDEP SCHOOL DIST"</f>
        <v>WHITE OAK INDEP SCHOOL DIST</v>
      </c>
      <c r="D1985" t="s">
        <v>11</v>
      </c>
      <c r="E1985" t="s">
        <v>1605</v>
      </c>
      <c r="F1985" t="s">
        <v>1606</v>
      </c>
      <c r="G1985">
        <v>75693</v>
      </c>
      <c r="H1985">
        <v>2010</v>
      </c>
      <c r="I1985" s="1">
        <v>675.63</v>
      </c>
      <c r="J1985" s="1">
        <v>1437.5</v>
      </c>
      <c r="K1985" s="1">
        <v>628.63</v>
      </c>
    </row>
    <row r="1986" spans="1:11" x14ac:dyDescent="0.35">
      <c r="A1986">
        <v>747954</v>
      </c>
      <c r="B1986">
        <v>2019262</v>
      </c>
      <c r="C1986" t="str">
        <f>"WHITE SETTLEMENT IND SCH DIST"</f>
        <v>WHITE SETTLEMENT IND SCH DIST</v>
      </c>
      <c r="D1986" t="s">
        <v>11</v>
      </c>
      <c r="E1986" t="s">
        <v>1607</v>
      </c>
      <c r="F1986" t="s">
        <v>262</v>
      </c>
      <c r="G1986">
        <v>76108</v>
      </c>
      <c r="H1986">
        <v>2010</v>
      </c>
      <c r="I1986" s="1">
        <v>619.98</v>
      </c>
      <c r="J1986" s="1">
        <v>999.96</v>
      </c>
      <c r="K1986" s="1">
        <v>619.98</v>
      </c>
    </row>
    <row r="1987" spans="1:11" x14ac:dyDescent="0.35">
      <c r="A1987">
        <v>747954</v>
      </c>
      <c r="B1987">
        <v>2019244</v>
      </c>
      <c r="C1987" t="str">
        <f>"WHITE SETTLEMENT IND SCH DIST"</f>
        <v>WHITE SETTLEMENT IND SCH DIST</v>
      </c>
      <c r="D1987" t="s">
        <v>11</v>
      </c>
      <c r="E1987" t="s">
        <v>1607</v>
      </c>
      <c r="F1987" t="s">
        <v>262</v>
      </c>
      <c r="G1987">
        <v>76108</v>
      </c>
      <c r="H1987">
        <v>2010</v>
      </c>
      <c r="I1987" s="1">
        <v>744</v>
      </c>
      <c r="J1987" s="1">
        <v>1200</v>
      </c>
    </row>
    <row r="1988" spans="1:11" x14ac:dyDescent="0.35">
      <c r="A1988">
        <v>747954</v>
      </c>
      <c r="B1988">
        <v>2019221</v>
      </c>
      <c r="C1988" t="str">
        <f>"WHITE SETTLEMENT IND SCH DIST"</f>
        <v>WHITE SETTLEMENT IND SCH DIST</v>
      </c>
      <c r="D1988" t="s">
        <v>11</v>
      </c>
      <c r="E1988" t="s">
        <v>1607</v>
      </c>
      <c r="F1988" t="s">
        <v>262</v>
      </c>
      <c r="G1988">
        <v>76108</v>
      </c>
      <c r="H1988">
        <v>2010</v>
      </c>
      <c r="I1988" s="1">
        <v>2232</v>
      </c>
      <c r="J1988" s="1">
        <v>3600</v>
      </c>
      <c r="K1988" s="1">
        <v>893</v>
      </c>
    </row>
    <row r="1989" spans="1:11" x14ac:dyDescent="0.35">
      <c r="A1989">
        <v>747954</v>
      </c>
      <c r="B1989">
        <v>2019294</v>
      </c>
      <c r="C1989" t="str">
        <f>"WHITE SETTLEMENT IND SCH DIST"</f>
        <v>WHITE SETTLEMENT IND SCH DIST</v>
      </c>
      <c r="D1989" t="s">
        <v>11</v>
      </c>
      <c r="E1989" t="s">
        <v>1607</v>
      </c>
      <c r="F1989" t="s">
        <v>262</v>
      </c>
      <c r="G1989">
        <v>76108</v>
      </c>
      <c r="H1989">
        <v>2010</v>
      </c>
      <c r="I1989" s="1">
        <v>23056.560000000001</v>
      </c>
      <c r="J1989" s="1">
        <v>37188</v>
      </c>
      <c r="K1989" s="1">
        <v>23056.560000000001</v>
      </c>
    </row>
    <row r="1990" spans="1:11" x14ac:dyDescent="0.35">
      <c r="A1990">
        <v>723416</v>
      </c>
      <c r="B1990">
        <v>1966550</v>
      </c>
      <c r="C1990" t="str">
        <f>"WHITEFACE CONS INDEP SCH DIST"</f>
        <v>WHITEFACE CONS INDEP SCH DIST</v>
      </c>
      <c r="D1990" t="s">
        <v>11</v>
      </c>
      <c r="E1990" t="s">
        <v>1608</v>
      </c>
      <c r="F1990" t="s">
        <v>1609</v>
      </c>
      <c r="G1990">
        <v>79379</v>
      </c>
      <c r="H1990">
        <v>2010</v>
      </c>
      <c r="I1990" s="1">
        <v>39569.279999999999</v>
      </c>
      <c r="J1990" s="1">
        <v>49461.599999999999</v>
      </c>
      <c r="K1990" s="1">
        <v>33764.69</v>
      </c>
    </row>
    <row r="1991" spans="1:11" x14ac:dyDescent="0.35">
      <c r="A1991">
        <v>738665</v>
      </c>
      <c r="B1991">
        <v>2013867</v>
      </c>
      <c r="C1991" t="str">
        <f>"WHITEHOUSE INDEP SCHOOL DIST"</f>
        <v>WHITEHOUSE INDEP SCHOOL DIST</v>
      </c>
      <c r="D1991" t="s">
        <v>11</v>
      </c>
      <c r="E1991" t="s">
        <v>1610</v>
      </c>
      <c r="F1991" t="s">
        <v>1611</v>
      </c>
      <c r="G1991">
        <v>75791</v>
      </c>
      <c r="H1991">
        <v>2010</v>
      </c>
      <c r="I1991" s="1">
        <v>6600</v>
      </c>
      <c r="J1991" s="1">
        <v>12000</v>
      </c>
      <c r="K1991" s="1">
        <v>6600</v>
      </c>
    </row>
    <row r="1992" spans="1:11" x14ac:dyDescent="0.35">
      <c r="A1992">
        <v>740056</v>
      </c>
      <c r="B1992">
        <v>2000818</v>
      </c>
      <c r="C1992" t="str">
        <f>"WHITHARRAL INDEP SCHOOL DIST"</f>
        <v>WHITHARRAL INDEP SCHOOL DIST</v>
      </c>
      <c r="D1992" t="s">
        <v>11</v>
      </c>
      <c r="E1992" t="s">
        <v>1612</v>
      </c>
      <c r="F1992" t="s">
        <v>1613</v>
      </c>
      <c r="G1992">
        <v>79380</v>
      </c>
      <c r="H1992">
        <v>2010</v>
      </c>
      <c r="I1992" s="1">
        <v>5040</v>
      </c>
      <c r="J1992" s="1">
        <v>7200</v>
      </c>
      <c r="K1992" s="1">
        <v>5040</v>
      </c>
    </row>
    <row r="1993" spans="1:11" x14ac:dyDescent="0.35">
      <c r="A1993">
        <v>729465</v>
      </c>
      <c r="B1993">
        <v>1974354</v>
      </c>
      <c r="C1993" t="str">
        <f>"WHITNEY INDEP SCHOOL DISTRICT"</f>
        <v>WHITNEY INDEP SCHOOL DISTRICT</v>
      </c>
      <c r="D1993" t="s">
        <v>11</v>
      </c>
      <c r="E1993" t="s">
        <v>1614</v>
      </c>
      <c r="F1993" t="s">
        <v>1615</v>
      </c>
      <c r="G1993">
        <v>76692</v>
      </c>
      <c r="H1993">
        <v>2010</v>
      </c>
      <c r="I1993" s="1">
        <v>2452.5</v>
      </c>
      <c r="J1993" s="1">
        <v>3270</v>
      </c>
      <c r="K1993" s="1">
        <v>2452.5</v>
      </c>
    </row>
    <row r="1994" spans="1:11" x14ac:dyDescent="0.35">
      <c r="A1994">
        <v>729465</v>
      </c>
      <c r="B1994">
        <v>1974311</v>
      </c>
      <c r="C1994" t="str">
        <f>"WHITNEY INDEP SCHOOL DISTRICT"</f>
        <v>WHITNEY INDEP SCHOOL DISTRICT</v>
      </c>
      <c r="D1994" t="s">
        <v>11</v>
      </c>
      <c r="E1994" t="s">
        <v>1614</v>
      </c>
      <c r="F1994" t="s">
        <v>1615</v>
      </c>
      <c r="G1994">
        <v>76692</v>
      </c>
      <c r="H1994">
        <v>2010</v>
      </c>
      <c r="I1994" s="1">
        <v>14400</v>
      </c>
      <c r="J1994" s="1">
        <v>19200</v>
      </c>
      <c r="K1994" s="1">
        <v>14400</v>
      </c>
    </row>
    <row r="1995" spans="1:11" x14ac:dyDescent="0.35">
      <c r="A1995">
        <v>719143</v>
      </c>
      <c r="B1995">
        <v>1953891</v>
      </c>
      <c r="C1995" t="str">
        <f>"WICHITA FALLS INDEPENDENT SCHOOL DISTRICT"</f>
        <v>WICHITA FALLS INDEPENDENT SCHOOL DISTRICT</v>
      </c>
      <c r="D1995" t="s">
        <v>11</v>
      </c>
      <c r="E1995" t="s">
        <v>1616</v>
      </c>
      <c r="F1995" t="s">
        <v>309</v>
      </c>
      <c r="G1995">
        <v>76301</v>
      </c>
      <c r="H1995">
        <v>2010</v>
      </c>
      <c r="I1995" s="1">
        <v>46428</v>
      </c>
      <c r="J1995" s="1">
        <v>63600</v>
      </c>
      <c r="K1995" s="1">
        <v>43075.78</v>
      </c>
    </row>
    <row r="1996" spans="1:11" x14ac:dyDescent="0.35">
      <c r="A1996">
        <v>719143</v>
      </c>
      <c r="B1996">
        <v>1953029</v>
      </c>
      <c r="C1996" t="str">
        <f>"WICHITA FALLS INDEPENDENT SCHOOL DISTRICT"</f>
        <v>WICHITA FALLS INDEPENDENT SCHOOL DISTRICT</v>
      </c>
      <c r="D1996" t="s">
        <v>11</v>
      </c>
      <c r="E1996" t="s">
        <v>1616</v>
      </c>
      <c r="F1996" t="s">
        <v>309</v>
      </c>
      <c r="G1996">
        <v>76301</v>
      </c>
      <c r="H1996">
        <v>2010</v>
      </c>
      <c r="I1996" s="1">
        <v>6052.28</v>
      </c>
      <c r="J1996" s="1">
        <v>8290.7999999999993</v>
      </c>
      <c r="K1996" s="1">
        <v>3890.75</v>
      </c>
    </row>
    <row r="1997" spans="1:11" x14ac:dyDescent="0.35">
      <c r="A1997">
        <v>719143</v>
      </c>
      <c r="B1997">
        <v>1953049</v>
      </c>
      <c r="C1997" t="str">
        <f>"WICHITA FALLS INDEPENDENT SCHOOL DISTRICT"</f>
        <v>WICHITA FALLS INDEPENDENT SCHOOL DISTRICT</v>
      </c>
      <c r="D1997" t="s">
        <v>11</v>
      </c>
      <c r="E1997" t="s">
        <v>1616</v>
      </c>
      <c r="F1997" t="s">
        <v>309</v>
      </c>
      <c r="G1997">
        <v>76301</v>
      </c>
      <c r="H1997">
        <v>2010</v>
      </c>
      <c r="I1997" s="1">
        <v>12395.4</v>
      </c>
      <c r="J1997" s="1">
        <v>16980</v>
      </c>
      <c r="K1997" s="1">
        <v>12395.4</v>
      </c>
    </row>
    <row r="1998" spans="1:11" x14ac:dyDescent="0.35">
      <c r="A1998">
        <v>765731</v>
      </c>
      <c r="B1998">
        <v>2077935</v>
      </c>
      <c r="C1998" t="str">
        <f t="shared" ref="C1998:C2005" si="29">"WILLIAMSON-BURNET COUNTY OPPORTUNITIES, INC."</f>
        <v>WILLIAMSON-BURNET COUNTY OPPORTUNITIES, INC.</v>
      </c>
      <c r="D1998" t="s">
        <v>11</v>
      </c>
      <c r="E1998" t="s">
        <v>1617</v>
      </c>
      <c r="F1998" t="s">
        <v>594</v>
      </c>
      <c r="G1998">
        <v>78626</v>
      </c>
      <c r="H1998">
        <v>2010</v>
      </c>
      <c r="I1998" s="1">
        <v>0</v>
      </c>
      <c r="J1998" s="1">
        <v>0</v>
      </c>
    </row>
    <row r="1999" spans="1:11" x14ac:dyDescent="0.35">
      <c r="A1999">
        <v>765731</v>
      </c>
      <c r="B1999">
        <v>2079051</v>
      </c>
      <c r="C1999" t="str">
        <f t="shared" si="29"/>
        <v>WILLIAMSON-BURNET COUNTY OPPORTUNITIES, INC.</v>
      </c>
      <c r="D1999" t="s">
        <v>11</v>
      </c>
      <c r="E1999" t="s">
        <v>1617</v>
      </c>
      <c r="F1999" t="s">
        <v>594</v>
      </c>
      <c r="G1999">
        <v>78626</v>
      </c>
      <c r="H1999">
        <v>2010</v>
      </c>
      <c r="I1999" s="1">
        <v>0</v>
      </c>
      <c r="J1999" s="1">
        <v>0</v>
      </c>
    </row>
    <row r="2000" spans="1:11" x14ac:dyDescent="0.35">
      <c r="A2000">
        <v>765731</v>
      </c>
      <c r="B2000">
        <v>2077823</v>
      </c>
      <c r="C2000" t="str">
        <f t="shared" si="29"/>
        <v>WILLIAMSON-BURNET COUNTY OPPORTUNITIES, INC.</v>
      </c>
      <c r="D2000" t="s">
        <v>11</v>
      </c>
      <c r="E2000" t="s">
        <v>1617</v>
      </c>
      <c r="F2000" t="s">
        <v>594</v>
      </c>
      <c r="G2000">
        <v>78626</v>
      </c>
      <c r="H2000">
        <v>2010</v>
      </c>
      <c r="I2000" s="1">
        <v>0</v>
      </c>
      <c r="J2000" s="1">
        <v>0</v>
      </c>
    </row>
    <row r="2001" spans="1:11" x14ac:dyDescent="0.35">
      <c r="A2001">
        <v>765731</v>
      </c>
      <c r="B2001">
        <v>2077861</v>
      </c>
      <c r="C2001" t="str">
        <f t="shared" si="29"/>
        <v>WILLIAMSON-BURNET COUNTY OPPORTUNITIES, INC.</v>
      </c>
      <c r="D2001" t="s">
        <v>11</v>
      </c>
      <c r="E2001" t="s">
        <v>1617</v>
      </c>
      <c r="F2001" t="s">
        <v>594</v>
      </c>
      <c r="G2001">
        <v>78626</v>
      </c>
      <c r="H2001">
        <v>2010</v>
      </c>
      <c r="I2001" s="1">
        <v>0</v>
      </c>
      <c r="J2001" s="1">
        <v>0</v>
      </c>
    </row>
    <row r="2002" spans="1:11" x14ac:dyDescent="0.35">
      <c r="A2002">
        <v>765731</v>
      </c>
      <c r="B2002">
        <v>2077964</v>
      </c>
      <c r="C2002" t="str">
        <f t="shared" si="29"/>
        <v>WILLIAMSON-BURNET COUNTY OPPORTUNITIES, INC.</v>
      </c>
      <c r="D2002" t="s">
        <v>11</v>
      </c>
      <c r="E2002" t="s">
        <v>1617</v>
      </c>
      <c r="F2002" t="s">
        <v>594</v>
      </c>
      <c r="G2002">
        <v>78626</v>
      </c>
      <c r="H2002">
        <v>2010</v>
      </c>
      <c r="I2002" s="1">
        <v>0</v>
      </c>
      <c r="J2002" s="1">
        <v>0</v>
      </c>
    </row>
    <row r="2003" spans="1:11" x14ac:dyDescent="0.35">
      <c r="A2003">
        <v>765731</v>
      </c>
      <c r="B2003">
        <v>2077995</v>
      </c>
      <c r="C2003" t="str">
        <f t="shared" si="29"/>
        <v>WILLIAMSON-BURNET COUNTY OPPORTUNITIES, INC.</v>
      </c>
      <c r="D2003" t="s">
        <v>11</v>
      </c>
      <c r="E2003" t="s">
        <v>1617</v>
      </c>
      <c r="F2003" t="s">
        <v>594</v>
      </c>
      <c r="G2003">
        <v>78626</v>
      </c>
      <c r="H2003">
        <v>2010</v>
      </c>
      <c r="I2003" s="1">
        <v>0</v>
      </c>
      <c r="J2003" s="1">
        <v>0</v>
      </c>
    </row>
    <row r="2004" spans="1:11" x14ac:dyDescent="0.35">
      <c r="A2004">
        <v>765731</v>
      </c>
      <c r="B2004">
        <v>2078016</v>
      </c>
      <c r="C2004" t="str">
        <f t="shared" si="29"/>
        <v>WILLIAMSON-BURNET COUNTY OPPORTUNITIES, INC.</v>
      </c>
      <c r="D2004" t="s">
        <v>11</v>
      </c>
      <c r="E2004" t="s">
        <v>1617</v>
      </c>
      <c r="F2004" t="s">
        <v>594</v>
      </c>
      <c r="G2004">
        <v>78626</v>
      </c>
      <c r="H2004">
        <v>2010</v>
      </c>
      <c r="I2004" s="1">
        <v>0</v>
      </c>
      <c r="J2004" s="1">
        <v>0</v>
      </c>
    </row>
    <row r="2005" spans="1:11" x14ac:dyDescent="0.35">
      <c r="A2005">
        <v>765731</v>
      </c>
      <c r="B2005">
        <v>2077909</v>
      </c>
      <c r="C2005" t="str">
        <f t="shared" si="29"/>
        <v>WILLIAMSON-BURNET COUNTY OPPORTUNITIES, INC.</v>
      </c>
      <c r="D2005" t="s">
        <v>11</v>
      </c>
      <c r="E2005" t="s">
        <v>1617</v>
      </c>
      <c r="F2005" t="s">
        <v>594</v>
      </c>
      <c r="G2005">
        <v>78626</v>
      </c>
      <c r="H2005">
        <v>2010</v>
      </c>
      <c r="I2005" s="1">
        <v>0</v>
      </c>
      <c r="J2005" s="1">
        <v>0</v>
      </c>
    </row>
    <row r="2006" spans="1:11" x14ac:dyDescent="0.35">
      <c r="A2006">
        <v>765852</v>
      </c>
      <c r="B2006">
        <v>2074635</v>
      </c>
      <c r="C2006" t="str">
        <f>"WILLIS INDEP SCHOOL DISTRICT"</f>
        <v>WILLIS INDEP SCHOOL DISTRICT</v>
      </c>
      <c r="D2006" t="s">
        <v>11</v>
      </c>
      <c r="E2006" t="s">
        <v>1618</v>
      </c>
      <c r="F2006" t="s">
        <v>1619</v>
      </c>
      <c r="G2006">
        <v>77378</v>
      </c>
      <c r="H2006">
        <v>2010</v>
      </c>
      <c r="I2006" s="1">
        <v>55380</v>
      </c>
      <c r="J2006" s="1">
        <v>78000</v>
      </c>
      <c r="K2006" s="1">
        <v>55226.16</v>
      </c>
    </row>
    <row r="2007" spans="1:11" x14ac:dyDescent="0.35">
      <c r="A2007">
        <v>765852</v>
      </c>
      <c r="B2007">
        <v>2074467</v>
      </c>
      <c r="C2007" t="str">
        <f>"WILLIS INDEP SCHOOL DISTRICT"</f>
        <v>WILLIS INDEP SCHOOL DISTRICT</v>
      </c>
      <c r="D2007" t="s">
        <v>11</v>
      </c>
      <c r="E2007" t="s">
        <v>1618</v>
      </c>
      <c r="F2007" t="s">
        <v>1619</v>
      </c>
      <c r="G2007">
        <v>77378</v>
      </c>
      <c r="H2007">
        <v>2010</v>
      </c>
      <c r="I2007" s="1">
        <v>9256.5499999999993</v>
      </c>
      <c r="J2007" s="1">
        <v>13037.4</v>
      </c>
      <c r="K2007" s="1">
        <v>9256.5499999999993</v>
      </c>
    </row>
    <row r="2008" spans="1:11" x14ac:dyDescent="0.35">
      <c r="A2008">
        <v>733902</v>
      </c>
      <c r="B2008">
        <v>1984526</v>
      </c>
      <c r="C2008" t="str">
        <f>"WILSON INDEP SCHOOL DISTRICT"</f>
        <v>WILSON INDEP SCHOOL DISTRICT</v>
      </c>
      <c r="D2008" t="s">
        <v>11</v>
      </c>
      <c r="E2008" t="s">
        <v>1620</v>
      </c>
      <c r="F2008" t="s">
        <v>1621</v>
      </c>
      <c r="G2008">
        <v>79381</v>
      </c>
      <c r="H2008">
        <v>2010</v>
      </c>
      <c r="I2008" s="1">
        <v>5280</v>
      </c>
      <c r="J2008" s="1">
        <v>6600</v>
      </c>
      <c r="K2008" s="1">
        <v>5280</v>
      </c>
    </row>
    <row r="2009" spans="1:11" x14ac:dyDescent="0.35">
      <c r="A2009">
        <v>733902</v>
      </c>
      <c r="B2009">
        <v>1984527</v>
      </c>
      <c r="C2009" t="str">
        <f>"WILSON INDEP SCHOOL DISTRICT"</f>
        <v>WILSON INDEP SCHOOL DISTRICT</v>
      </c>
      <c r="D2009" t="s">
        <v>11</v>
      </c>
      <c r="E2009" t="s">
        <v>1620</v>
      </c>
      <c r="F2009" t="s">
        <v>1621</v>
      </c>
      <c r="G2009">
        <v>79381</v>
      </c>
      <c r="H2009">
        <v>2010</v>
      </c>
      <c r="I2009" s="1">
        <v>1461.6</v>
      </c>
      <c r="J2009" s="1">
        <v>1827</v>
      </c>
      <c r="K2009" s="1">
        <v>1461.6</v>
      </c>
    </row>
    <row r="2010" spans="1:11" x14ac:dyDescent="0.35">
      <c r="A2010">
        <v>736492</v>
      </c>
      <c r="B2010">
        <v>2018499</v>
      </c>
      <c r="C2010" t="str">
        <f>"WIMBERLEY INDEP SCHOOL DIST"</f>
        <v>WIMBERLEY INDEP SCHOOL DIST</v>
      </c>
      <c r="D2010" t="s">
        <v>11</v>
      </c>
      <c r="E2010" t="s">
        <v>1622</v>
      </c>
      <c r="F2010" t="s">
        <v>1623</v>
      </c>
      <c r="G2010">
        <v>78676</v>
      </c>
      <c r="H2010">
        <v>2010</v>
      </c>
      <c r="I2010" s="1">
        <v>13818</v>
      </c>
      <c r="J2010" s="1">
        <v>29400</v>
      </c>
    </row>
    <row r="2011" spans="1:11" x14ac:dyDescent="0.35">
      <c r="A2011">
        <v>729752</v>
      </c>
      <c r="B2011">
        <v>1974141</v>
      </c>
      <c r="C2011" t="str">
        <f>"WINDTHORST INDEP SCHOOL DIST"</f>
        <v>WINDTHORST INDEP SCHOOL DIST</v>
      </c>
      <c r="D2011" t="s">
        <v>11</v>
      </c>
      <c r="E2011" t="s">
        <v>1624</v>
      </c>
      <c r="F2011" t="s">
        <v>1625</v>
      </c>
      <c r="G2011">
        <v>76389</v>
      </c>
      <c r="H2011">
        <v>2010</v>
      </c>
      <c r="I2011" s="1">
        <v>6218.1</v>
      </c>
      <c r="J2011" s="1">
        <v>8290.7999999999993</v>
      </c>
      <c r="K2011" s="1">
        <v>4367.4799999999996</v>
      </c>
    </row>
    <row r="2012" spans="1:11" x14ac:dyDescent="0.35">
      <c r="A2012">
        <v>729752</v>
      </c>
      <c r="B2012">
        <v>1974248</v>
      </c>
      <c r="C2012" t="str">
        <f>"WINDTHORST INDEP SCHOOL DIST"</f>
        <v>WINDTHORST INDEP SCHOOL DIST</v>
      </c>
      <c r="D2012" t="s">
        <v>11</v>
      </c>
      <c r="E2012" t="s">
        <v>1624</v>
      </c>
      <c r="F2012" t="s">
        <v>1625</v>
      </c>
      <c r="G2012">
        <v>76389</v>
      </c>
      <c r="H2012">
        <v>2010</v>
      </c>
      <c r="I2012" s="1">
        <v>18900</v>
      </c>
      <c r="J2012" s="1">
        <v>25200</v>
      </c>
      <c r="K2012" s="1">
        <v>18680.759999999998</v>
      </c>
    </row>
    <row r="2013" spans="1:11" x14ac:dyDescent="0.35">
      <c r="A2013">
        <v>752087</v>
      </c>
      <c r="B2013">
        <v>2032059</v>
      </c>
      <c r="C2013" t="str">
        <f>"WINDTHORST INDEP SCHOOL DIST"</f>
        <v>WINDTHORST INDEP SCHOOL DIST</v>
      </c>
      <c r="D2013" t="s">
        <v>11</v>
      </c>
      <c r="E2013" t="s">
        <v>1624</v>
      </c>
      <c r="F2013" t="s">
        <v>1625</v>
      </c>
      <c r="G2013">
        <v>76389</v>
      </c>
      <c r="H2013">
        <v>2010</v>
      </c>
      <c r="I2013" s="1">
        <v>0</v>
      </c>
      <c r="J2013" s="1">
        <v>0</v>
      </c>
    </row>
    <row r="2014" spans="1:11" x14ac:dyDescent="0.35">
      <c r="A2014">
        <v>768030</v>
      </c>
      <c r="B2014">
        <v>2076837</v>
      </c>
      <c r="C2014" t="str">
        <f>"WINFIELD INDEP SCHOOL DISTRICT"</f>
        <v>WINFIELD INDEP SCHOOL DISTRICT</v>
      </c>
      <c r="D2014" t="s">
        <v>11</v>
      </c>
      <c r="E2014" t="s">
        <v>1626</v>
      </c>
      <c r="F2014" t="s">
        <v>1627</v>
      </c>
      <c r="G2014">
        <v>75493</v>
      </c>
      <c r="H2014">
        <v>2010</v>
      </c>
      <c r="I2014" s="1">
        <v>0</v>
      </c>
      <c r="J2014" s="1">
        <v>0</v>
      </c>
    </row>
    <row r="2015" spans="1:11" x14ac:dyDescent="0.35">
      <c r="A2015">
        <v>766447</v>
      </c>
      <c r="B2015">
        <v>2072096</v>
      </c>
      <c r="C2015" t="str">
        <f>"WINFIELD INDEP SCHOOL DISTRICT"</f>
        <v>WINFIELD INDEP SCHOOL DISTRICT</v>
      </c>
      <c r="D2015" t="s">
        <v>11</v>
      </c>
      <c r="E2015" t="s">
        <v>1626</v>
      </c>
      <c r="F2015" t="s">
        <v>1627</v>
      </c>
      <c r="G2015">
        <v>75493</v>
      </c>
      <c r="H2015">
        <v>2010</v>
      </c>
      <c r="I2015" s="1">
        <v>746.42</v>
      </c>
      <c r="J2015" s="1">
        <v>829.35</v>
      </c>
      <c r="K2015" s="1">
        <v>746.42</v>
      </c>
    </row>
    <row r="2016" spans="1:11" x14ac:dyDescent="0.35">
      <c r="A2016">
        <v>733008</v>
      </c>
      <c r="B2016">
        <v>1982302</v>
      </c>
      <c r="C2016" t="str">
        <f>"WINNSBORO INDEP SCHOOL DIST"</f>
        <v>WINNSBORO INDEP SCHOOL DIST</v>
      </c>
      <c r="D2016" t="s">
        <v>11</v>
      </c>
      <c r="E2016" t="s">
        <v>1628</v>
      </c>
      <c r="F2016" t="s">
        <v>1629</v>
      </c>
      <c r="G2016">
        <v>75494</v>
      </c>
      <c r="H2016">
        <v>2010</v>
      </c>
      <c r="I2016" s="1">
        <v>1765.61</v>
      </c>
      <c r="J2016" s="1">
        <v>2293</v>
      </c>
    </row>
    <row r="2017" spans="1:11" x14ac:dyDescent="0.35">
      <c r="A2017">
        <v>733008</v>
      </c>
      <c r="B2017">
        <v>1982521</v>
      </c>
      <c r="C2017" t="str">
        <f>"WINNSBORO INDEP SCHOOL DIST"</f>
        <v>WINNSBORO INDEP SCHOOL DIST</v>
      </c>
      <c r="D2017" t="s">
        <v>11</v>
      </c>
      <c r="E2017" t="s">
        <v>1628</v>
      </c>
      <c r="F2017" t="s">
        <v>1629</v>
      </c>
      <c r="G2017">
        <v>75494</v>
      </c>
      <c r="H2017">
        <v>2010</v>
      </c>
      <c r="I2017" s="1">
        <v>25872</v>
      </c>
      <c r="J2017" s="1">
        <v>33600</v>
      </c>
      <c r="K2017" s="1">
        <v>25872</v>
      </c>
    </row>
    <row r="2018" spans="1:11" x14ac:dyDescent="0.35">
      <c r="A2018">
        <v>733008</v>
      </c>
      <c r="B2018">
        <v>1982384</v>
      </c>
      <c r="C2018" t="str">
        <f>"WINNSBORO INDEP SCHOOL DIST"</f>
        <v>WINNSBORO INDEP SCHOOL DIST</v>
      </c>
      <c r="D2018" t="s">
        <v>11</v>
      </c>
      <c r="E2018" t="s">
        <v>1628</v>
      </c>
      <c r="F2018" t="s">
        <v>1629</v>
      </c>
      <c r="G2018">
        <v>75494</v>
      </c>
      <c r="H2018">
        <v>2010</v>
      </c>
      <c r="I2018" s="1">
        <v>2209.15</v>
      </c>
      <c r="J2018" s="1">
        <v>2869.03</v>
      </c>
      <c r="K2018" s="1">
        <v>1843.69</v>
      </c>
    </row>
    <row r="2019" spans="1:11" x14ac:dyDescent="0.35">
      <c r="A2019">
        <v>747649</v>
      </c>
      <c r="B2019">
        <v>2071533</v>
      </c>
      <c r="C2019" t="str">
        <f>"WINONA INDEP SCHOOL DISTRICT"</f>
        <v>WINONA INDEP SCHOOL DISTRICT</v>
      </c>
      <c r="D2019" t="s">
        <v>11</v>
      </c>
      <c r="E2019" t="s">
        <v>1630</v>
      </c>
      <c r="F2019" t="s">
        <v>1631</v>
      </c>
      <c r="G2019">
        <v>75792</v>
      </c>
      <c r="H2019">
        <v>2010</v>
      </c>
      <c r="I2019" s="1">
        <v>898.49</v>
      </c>
      <c r="J2019" s="1">
        <v>1109.25</v>
      </c>
    </row>
    <row r="2020" spans="1:11" x14ac:dyDescent="0.35">
      <c r="A2020">
        <v>747649</v>
      </c>
      <c r="B2020">
        <v>2070290</v>
      </c>
      <c r="C2020" t="str">
        <f>"WINONA INDEP SCHOOL DISTRICT"</f>
        <v>WINONA INDEP SCHOOL DISTRICT</v>
      </c>
      <c r="D2020" t="s">
        <v>11</v>
      </c>
      <c r="E2020" t="s">
        <v>1630</v>
      </c>
      <c r="F2020" t="s">
        <v>1631</v>
      </c>
      <c r="G2020">
        <v>75792</v>
      </c>
      <c r="H2020">
        <v>2010</v>
      </c>
      <c r="I2020" s="1">
        <v>6804</v>
      </c>
      <c r="J2020" s="1">
        <v>8400</v>
      </c>
      <c r="K2020" s="1">
        <v>6804</v>
      </c>
    </row>
    <row r="2021" spans="1:11" x14ac:dyDescent="0.35">
      <c r="A2021">
        <v>768568</v>
      </c>
      <c r="B2021">
        <v>2078602</v>
      </c>
      <c r="C2021" t="str">
        <f>"WINTERS INDEP SCHOOL DISTRICT"</f>
        <v>WINTERS INDEP SCHOOL DISTRICT</v>
      </c>
      <c r="D2021" t="s">
        <v>11</v>
      </c>
      <c r="E2021" t="s">
        <v>1632</v>
      </c>
      <c r="F2021" t="s">
        <v>1633</v>
      </c>
      <c r="G2021">
        <v>79567</v>
      </c>
      <c r="H2021">
        <v>2010</v>
      </c>
      <c r="I2021" s="1">
        <v>324</v>
      </c>
      <c r="J2021" s="1">
        <v>360</v>
      </c>
    </row>
    <row r="2022" spans="1:11" x14ac:dyDescent="0.35">
      <c r="A2022">
        <v>718430</v>
      </c>
      <c r="B2022">
        <v>1965463</v>
      </c>
      <c r="C2022" t="str">
        <f>"WOLFE CITY INDEP SCHOOL DIST"</f>
        <v>WOLFE CITY INDEP SCHOOL DIST</v>
      </c>
      <c r="D2022" t="s">
        <v>11</v>
      </c>
      <c r="E2022" t="s">
        <v>1634</v>
      </c>
      <c r="F2022" t="s">
        <v>1635</v>
      </c>
      <c r="G2022">
        <v>75496</v>
      </c>
      <c r="H2022">
        <v>2010</v>
      </c>
      <c r="I2022" s="1">
        <v>8417.76</v>
      </c>
      <c r="J2022" s="1">
        <v>11076</v>
      </c>
      <c r="K2022" s="1">
        <v>8329.58</v>
      </c>
    </row>
    <row r="2023" spans="1:11" x14ac:dyDescent="0.35">
      <c r="A2023">
        <v>723500</v>
      </c>
      <c r="B2023">
        <v>1960707</v>
      </c>
      <c r="C2023" t="str">
        <f>"WOODSBORO INDEP SCHOOL DIST"</f>
        <v>WOODSBORO INDEP SCHOOL DIST</v>
      </c>
      <c r="D2023" t="s">
        <v>11</v>
      </c>
      <c r="E2023" t="s">
        <v>1636</v>
      </c>
      <c r="F2023" t="s">
        <v>1637</v>
      </c>
      <c r="G2023">
        <v>78393</v>
      </c>
      <c r="H2023">
        <v>2010</v>
      </c>
      <c r="I2023" s="1">
        <v>12960</v>
      </c>
      <c r="J2023" s="1">
        <v>18000</v>
      </c>
      <c r="K2023" s="1">
        <v>10950</v>
      </c>
    </row>
    <row r="2024" spans="1:11" x14ac:dyDescent="0.35">
      <c r="A2024">
        <v>723216</v>
      </c>
      <c r="B2024">
        <v>1960210</v>
      </c>
      <c r="C2024" t="str">
        <f>"WOODSON INDEP SCHOOL DISTRICT"</f>
        <v>WOODSON INDEP SCHOOL DISTRICT</v>
      </c>
      <c r="D2024" t="s">
        <v>11</v>
      </c>
      <c r="E2024" t="s">
        <v>1638</v>
      </c>
      <c r="F2024" t="s">
        <v>1639</v>
      </c>
      <c r="G2024">
        <v>76491</v>
      </c>
      <c r="H2024">
        <v>2010</v>
      </c>
      <c r="I2024" s="1">
        <v>684</v>
      </c>
      <c r="J2024" s="1">
        <v>855</v>
      </c>
      <c r="K2024" s="1">
        <v>684</v>
      </c>
    </row>
    <row r="2025" spans="1:11" x14ac:dyDescent="0.35">
      <c r="A2025">
        <v>723216</v>
      </c>
      <c r="B2025">
        <v>1960199</v>
      </c>
      <c r="C2025" t="str">
        <f>"WOODSON INDEP SCHOOL DISTRICT"</f>
        <v>WOODSON INDEP SCHOOL DISTRICT</v>
      </c>
      <c r="D2025" t="s">
        <v>11</v>
      </c>
      <c r="E2025" t="s">
        <v>1638</v>
      </c>
      <c r="F2025" t="s">
        <v>1639</v>
      </c>
      <c r="G2025">
        <v>76491</v>
      </c>
      <c r="H2025">
        <v>2010</v>
      </c>
      <c r="I2025" s="1">
        <v>4263.84</v>
      </c>
      <c r="J2025" s="1">
        <v>5329.8</v>
      </c>
      <c r="K2025" s="1">
        <v>4263.84</v>
      </c>
    </row>
    <row r="2026" spans="1:11" x14ac:dyDescent="0.35">
      <c r="A2026">
        <v>742526</v>
      </c>
      <c r="B2026">
        <v>2004905</v>
      </c>
      <c r="C2026" t="str">
        <f>"WOODVILLE INDEP SCHOOL DIST"</f>
        <v>WOODVILLE INDEP SCHOOL DIST</v>
      </c>
      <c r="D2026" t="s">
        <v>11</v>
      </c>
      <c r="E2026" t="s">
        <v>1640</v>
      </c>
      <c r="F2026" t="s">
        <v>1641</v>
      </c>
      <c r="G2026">
        <v>75979</v>
      </c>
      <c r="H2026">
        <v>2010</v>
      </c>
      <c r="I2026" s="1">
        <v>4216.07</v>
      </c>
      <c r="J2026" s="1">
        <v>5079.6000000000004</v>
      </c>
      <c r="K2026" s="1">
        <v>4216.07</v>
      </c>
    </row>
    <row r="2027" spans="1:11" x14ac:dyDescent="0.35">
      <c r="A2027">
        <v>721024</v>
      </c>
      <c r="B2027">
        <v>1990984</v>
      </c>
      <c r="C2027" t="str">
        <f>"WORTHAM INDEP SCHOOL DISTRICT"</f>
        <v>WORTHAM INDEP SCHOOL DISTRICT</v>
      </c>
      <c r="D2027" t="s">
        <v>11</v>
      </c>
      <c r="E2027" t="s">
        <v>1642</v>
      </c>
      <c r="F2027" t="s">
        <v>1643</v>
      </c>
      <c r="G2027">
        <v>76693</v>
      </c>
      <c r="H2027">
        <v>2010</v>
      </c>
      <c r="I2027" s="1">
        <v>0</v>
      </c>
      <c r="J2027" s="1">
        <v>0</v>
      </c>
    </row>
    <row r="2028" spans="1:11" x14ac:dyDescent="0.35">
      <c r="A2028">
        <v>721024</v>
      </c>
      <c r="B2028">
        <v>1956070</v>
      </c>
      <c r="C2028" t="str">
        <f>"WORTHAM INDEP SCHOOL DISTRICT"</f>
        <v>WORTHAM INDEP SCHOOL DISTRICT</v>
      </c>
      <c r="D2028" t="s">
        <v>11</v>
      </c>
      <c r="E2028" t="s">
        <v>1642</v>
      </c>
      <c r="F2028" t="s">
        <v>1643</v>
      </c>
      <c r="G2028">
        <v>76693</v>
      </c>
      <c r="H2028">
        <v>2010</v>
      </c>
      <c r="I2028" s="1">
        <v>6825</v>
      </c>
      <c r="J2028" s="1">
        <v>10500</v>
      </c>
      <c r="K2028" s="1">
        <v>6825</v>
      </c>
    </row>
    <row r="2029" spans="1:11" x14ac:dyDescent="0.35">
      <c r="A2029">
        <v>721024</v>
      </c>
      <c r="B2029">
        <v>1956067</v>
      </c>
      <c r="C2029" t="str">
        <f>"WORTHAM INDEP SCHOOL DISTRICT"</f>
        <v>WORTHAM INDEP SCHOOL DISTRICT</v>
      </c>
      <c r="D2029" t="s">
        <v>11</v>
      </c>
      <c r="E2029" t="s">
        <v>1642</v>
      </c>
      <c r="F2029" t="s">
        <v>1643</v>
      </c>
      <c r="G2029">
        <v>76693</v>
      </c>
      <c r="H2029">
        <v>2010</v>
      </c>
      <c r="I2029" s="1">
        <v>5070</v>
      </c>
      <c r="J2029" s="1">
        <v>7800</v>
      </c>
      <c r="K2029" s="1">
        <v>1023.75</v>
      </c>
    </row>
    <row r="2030" spans="1:11" x14ac:dyDescent="0.35">
      <c r="A2030">
        <v>721024</v>
      </c>
      <c r="B2030">
        <v>1956082</v>
      </c>
      <c r="C2030" t="str">
        <f>"WORTHAM INDEP SCHOOL DISTRICT"</f>
        <v>WORTHAM INDEP SCHOOL DISTRICT</v>
      </c>
      <c r="D2030" t="s">
        <v>11</v>
      </c>
      <c r="E2030" t="s">
        <v>1642</v>
      </c>
      <c r="F2030" t="s">
        <v>1643</v>
      </c>
      <c r="G2030">
        <v>76693</v>
      </c>
      <c r="H2030">
        <v>2010</v>
      </c>
      <c r="I2030" s="1">
        <v>325.02999999999997</v>
      </c>
      <c r="J2030" s="1">
        <v>500.04</v>
      </c>
      <c r="K2030" s="1">
        <v>312</v>
      </c>
    </row>
    <row r="2031" spans="1:11" x14ac:dyDescent="0.35">
      <c r="A2031">
        <v>734425</v>
      </c>
      <c r="B2031">
        <v>2018278</v>
      </c>
      <c r="C2031" t="str">
        <f>"WYLIE INDEP SCHOOL DISTRICT"</f>
        <v>WYLIE INDEP SCHOOL DISTRICT</v>
      </c>
      <c r="D2031" t="s">
        <v>11</v>
      </c>
      <c r="E2031" t="s">
        <v>1644</v>
      </c>
      <c r="F2031" t="s">
        <v>19</v>
      </c>
      <c r="G2031">
        <v>79606</v>
      </c>
      <c r="H2031">
        <v>2010</v>
      </c>
      <c r="I2031" s="1">
        <v>2012.1</v>
      </c>
      <c r="J2031" s="1">
        <v>5030.25</v>
      </c>
      <c r="K2031" s="1">
        <v>2012.1</v>
      </c>
    </row>
    <row r="2032" spans="1:11" x14ac:dyDescent="0.35">
      <c r="A2032">
        <v>708426</v>
      </c>
      <c r="B2032">
        <v>1937216</v>
      </c>
      <c r="C2032" t="str">
        <f>"WYLIE ISD"</f>
        <v>WYLIE ISD</v>
      </c>
      <c r="D2032" t="s">
        <v>11</v>
      </c>
      <c r="E2032" t="s">
        <v>1645</v>
      </c>
      <c r="F2032" t="s">
        <v>1646</v>
      </c>
      <c r="G2032">
        <v>75098</v>
      </c>
      <c r="H2032">
        <v>2010</v>
      </c>
      <c r="I2032" s="1">
        <v>3179.64</v>
      </c>
      <c r="J2032" s="1">
        <v>6359.28</v>
      </c>
      <c r="K2032" s="1">
        <v>3179.64</v>
      </c>
    </row>
    <row r="2033" spans="1:11" x14ac:dyDescent="0.35">
      <c r="A2033">
        <v>732783</v>
      </c>
      <c r="B2033">
        <v>1981618</v>
      </c>
      <c r="C2033" t="str">
        <f>"YANTIS INDEP SCHOOL DISTRICT"</f>
        <v>YANTIS INDEP SCHOOL DISTRICT</v>
      </c>
      <c r="D2033" t="s">
        <v>11</v>
      </c>
      <c r="E2033" t="s">
        <v>1647</v>
      </c>
      <c r="F2033" t="s">
        <v>1648</v>
      </c>
      <c r="G2033">
        <v>75497</v>
      </c>
      <c r="H2033">
        <v>2010</v>
      </c>
      <c r="I2033" s="1">
        <v>23040</v>
      </c>
      <c r="J2033" s="1">
        <v>28800</v>
      </c>
      <c r="K2033" s="1">
        <v>11520</v>
      </c>
    </row>
    <row r="2034" spans="1:11" x14ac:dyDescent="0.35">
      <c r="A2034">
        <v>732841</v>
      </c>
      <c r="B2034">
        <v>1981745</v>
      </c>
      <c r="C2034" t="str">
        <f>"YANTIS INDEP SCHOOL DISTRICT"</f>
        <v>YANTIS INDEP SCHOOL DISTRICT</v>
      </c>
      <c r="D2034" t="s">
        <v>11</v>
      </c>
      <c r="E2034" t="s">
        <v>1647</v>
      </c>
      <c r="F2034" t="s">
        <v>1648</v>
      </c>
      <c r="G2034">
        <v>75497</v>
      </c>
      <c r="H2034">
        <v>2010</v>
      </c>
      <c r="I2034" s="1">
        <v>0</v>
      </c>
      <c r="J2034" s="1">
        <v>0</v>
      </c>
    </row>
    <row r="2035" spans="1:11" x14ac:dyDescent="0.35">
      <c r="A2035">
        <v>732055</v>
      </c>
      <c r="B2035">
        <v>2020328</v>
      </c>
      <c r="C2035" t="str">
        <f>"YES COLLEGE PREPARATORY SCHOOL"</f>
        <v>YES COLLEGE PREPARATORY SCHOOL</v>
      </c>
      <c r="D2035" t="s">
        <v>11</v>
      </c>
      <c r="E2035" t="s">
        <v>1649</v>
      </c>
      <c r="F2035" t="s">
        <v>29</v>
      </c>
      <c r="G2035">
        <v>77036</v>
      </c>
      <c r="H2035">
        <v>2010</v>
      </c>
      <c r="I2035" s="1">
        <v>52345.919999999998</v>
      </c>
      <c r="J2035" s="1">
        <v>59484</v>
      </c>
      <c r="K2035" s="1">
        <v>52345.919999999998</v>
      </c>
    </row>
    <row r="2036" spans="1:11" x14ac:dyDescent="0.35">
      <c r="A2036">
        <v>740713</v>
      </c>
      <c r="B2036">
        <v>2035212</v>
      </c>
      <c r="C2036" t="str">
        <f t="shared" ref="C2036:C2042" si="30">"YOAKUM INDEP SCHOOL DISTRICT"</f>
        <v>YOAKUM INDEP SCHOOL DISTRICT</v>
      </c>
      <c r="D2036" t="s">
        <v>11</v>
      </c>
      <c r="E2036" t="s">
        <v>1650</v>
      </c>
      <c r="F2036" t="s">
        <v>1651</v>
      </c>
      <c r="G2036">
        <v>77995</v>
      </c>
      <c r="H2036">
        <v>2010</v>
      </c>
      <c r="I2036" s="1">
        <v>4838.3999999999996</v>
      </c>
      <c r="J2036" s="1">
        <v>5760</v>
      </c>
      <c r="K2036" s="1">
        <v>0</v>
      </c>
    </row>
    <row r="2037" spans="1:11" x14ac:dyDescent="0.35">
      <c r="A2037">
        <v>740713</v>
      </c>
      <c r="B2037">
        <v>2000865</v>
      </c>
      <c r="C2037" t="str">
        <f t="shared" si="30"/>
        <v>YOAKUM INDEP SCHOOL DISTRICT</v>
      </c>
      <c r="D2037" t="s">
        <v>11</v>
      </c>
      <c r="E2037" t="s">
        <v>1650</v>
      </c>
      <c r="F2037" t="s">
        <v>1651</v>
      </c>
      <c r="G2037">
        <v>77995</v>
      </c>
      <c r="H2037">
        <v>2010</v>
      </c>
      <c r="I2037" s="1">
        <v>28728</v>
      </c>
      <c r="J2037" s="1">
        <v>34200</v>
      </c>
      <c r="K2037" s="1">
        <v>17596</v>
      </c>
    </row>
    <row r="2038" spans="1:11" x14ac:dyDescent="0.35">
      <c r="A2038">
        <v>740713</v>
      </c>
      <c r="B2038">
        <v>2035082</v>
      </c>
      <c r="C2038" t="str">
        <f t="shared" si="30"/>
        <v>YOAKUM INDEP SCHOOL DISTRICT</v>
      </c>
      <c r="D2038" t="s">
        <v>11</v>
      </c>
      <c r="E2038" t="s">
        <v>1650</v>
      </c>
      <c r="F2038" t="s">
        <v>1651</v>
      </c>
      <c r="G2038">
        <v>77995</v>
      </c>
      <c r="H2038">
        <v>2010</v>
      </c>
      <c r="I2038" s="1">
        <v>5184</v>
      </c>
      <c r="J2038" s="1">
        <v>5760</v>
      </c>
      <c r="K2038" s="1">
        <v>2643.66</v>
      </c>
    </row>
    <row r="2039" spans="1:11" x14ac:dyDescent="0.35">
      <c r="A2039">
        <v>740713</v>
      </c>
      <c r="B2039">
        <v>2035045</v>
      </c>
      <c r="C2039" t="str">
        <f t="shared" si="30"/>
        <v>YOAKUM INDEP SCHOOL DISTRICT</v>
      </c>
      <c r="D2039" t="s">
        <v>11</v>
      </c>
      <c r="E2039" t="s">
        <v>1650</v>
      </c>
      <c r="F2039" t="s">
        <v>1651</v>
      </c>
      <c r="G2039">
        <v>77995</v>
      </c>
      <c r="H2039">
        <v>2010</v>
      </c>
      <c r="I2039" s="1">
        <v>2419.1999999999998</v>
      </c>
      <c r="J2039" s="1">
        <v>2880</v>
      </c>
      <c r="K2039" s="1">
        <v>2345.09</v>
      </c>
    </row>
    <row r="2040" spans="1:11" x14ac:dyDescent="0.35">
      <c r="A2040">
        <v>740713</v>
      </c>
      <c r="B2040">
        <v>2034962</v>
      </c>
      <c r="C2040" t="str">
        <f t="shared" si="30"/>
        <v>YOAKUM INDEP SCHOOL DISTRICT</v>
      </c>
      <c r="D2040" t="s">
        <v>11</v>
      </c>
      <c r="E2040" t="s">
        <v>1650</v>
      </c>
      <c r="F2040" t="s">
        <v>1651</v>
      </c>
      <c r="G2040">
        <v>77995</v>
      </c>
      <c r="H2040">
        <v>2010</v>
      </c>
      <c r="I2040" s="1">
        <v>7560</v>
      </c>
      <c r="J2040" s="1">
        <v>9000</v>
      </c>
      <c r="K2040" s="1">
        <v>6283.47</v>
      </c>
    </row>
    <row r="2041" spans="1:11" x14ac:dyDescent="0.35">
      <c r="A2041">
        <v>740713</v>
      </c>
      <c r="B2041">
        <v>2000896</v>
      </c>
      <c r="C2041" t="str">
        <f t="shared" si="30"/>
        <v>YOAKUM INDEP SCHOOL DISTRICT</v>
      </c>
      <c r="D2041" t="s">
        <v>11</v>
      </c>
      <c r="E2041" t="s">
        <v>1650</v>
      </c>
      <c r="F2041" t="s">
        <v>1651</v>
      </c>
      <c r="G2041">
        <v>77995</v>
      </c>
      <c r="H2041">
        <v>2010</v>
      </c>
      <c r="I2041" s="1">
        <v>360.96</v>
      </c>
      <c r="J2041" s="1">
        <v>429.72</v>
      </c>
      <c r="K2041" s="1">
        <v>360.96</v>
      </c>
    </row>
    <row r="2042" spans="1:11" x14ac:dyDescent="0.35">
      <c r="A2042">
        <v>740713</v>
      </c>
      <c r="B2042">
        <v>2035008</v>
      </c>
      <c r="C2042" t="str">
        <f t="shared" si="30"/>
        <v>YOAKUM INDEP SCHOOL DISTRICT</v>
      </c>
      <c r="D2042" t="s">
        <v>11</v>
      </c>
      <c r="E2042" t="s">
        <v>1650</v>
      </c>
      <c r="F2042" t="s">
        <v>1651</v>
      </c>
      <c r="G2042">
        <v>77995</v>
      </c>
      <c r="H2042">
        <v>2010</v>
      </c>
      <c r="I2042" s="1">
        <v>5184</v>
      </c>
      <c r="J2042" s="1">
        <v>5760</v>
      </c>
      <c r="K2042" s="1">
        <v>5025.1000000000004</v>
      </c>
    </row>
    <row r="2043" spans="1:11" x14ac:dyDescent="0.35">
      <c r="A2043">
        <v>723075</v>
      </c>
      <c r="B2043">
        <v>1959924</v>
      </c>
      <c r="C2043" t="str">
        <f>"YORKTOWN INDEP SCHOOL DISTRICT"</f>
        <v>YORKTOWN INDEP SCHOOL DISTRICT</v>
      </c>
      <c r="D2043" t="s">
        <v>11</v>
      </c>
      <c r="E2043" t="s">
        <v>1652</v>
      </c>
      <c r="F2043" t="s">
        <v>1653</v>
      </c>
      <c r="G2043">
        <v>78164</v>
      </c>
      <c r="H2043">
        <v>2010</v>
      </c>
      <c r="I2043" s="1">
        <v>13444.2</v>
      </c>
      <c r="J2043" s="1">
        <v>17460</v>
      </c>
      <c r="K2043" s="1">
        <v>11711</v>
      </c>
    </row>
    <row r="2044" spans="1:11" x14ac:dyDescent="0.35">
      <c r="A2044">
        <v>737866</v>
      </c>
      <c r="B2044">
        <v>1992980</v>
      </c>
      <c r="C2044" t="str">
        <f>"YSLETA INDEP SCHOOL DISTRICT"</f>
        <v>YSLETA INDEP SCHOOL DISTRICT</v>
      </c>
      <c r="D2044" t="s">
        <v>11</v>
      </c>
      <c r="E2044" t="s">
        <v>1654</v>
      </c>
      <c r="F2044" t="s">
        <v>220</v>
      </c>
      <c r="G2044">
        <v>79925</v>
      </c>
      <c r="H2044">
        <v>2010</v>
      </c>
      <c r="I2044" s="1">
        <v>70948.5</v>
      </c>
      <c r="J2044" s="1">
        <v>81550</v>
      </c>
      <c r="K2044" s="1">
        <v>70948.5</v>
      </c>
    </row>
    <row r="2045" spans="1:11" x14ac:dyDescent="0.35">
      <c r="A2045">
        <v>737636</v>
      </c>
      <c r="B2045">
        <v>1992604</v>
      </c>
      <c r="C2045" t="str">
        <f>"YSLETA INDEP SCHOOL DISTRICT"</f>
        <v>YSLETA INDEP SCHOOL DISTRICT</v>
      </c>
      <c r="D2045" t="s">
        <v>11</v>
      </c>
      <c r="E2045" t="s">
        <v>1654</v>
      </c>
      <c r="F2045" t="s">
        <v>220</v>
      </c>
      <c r="G2045">
        <v>79925</v>
      </c>
      <c r="H2045">
        <v>2010</v>
      </c>
      <c r="I2045" s="1">
        <v>60723.39</v>
      </c>
      <c r="J2045" s="1">
        <v>69797</v>
      </c>
      <c r="K2045" s="1">
        <v>60723.39</v>
      </c>
    </row>
    <row r="2046" spans="1:11" x14ac:dyDescent="0.35">
      <c r="A2046">
        <v>740780</v>
      </c>
      <c r="B2046">
        <v>2016628</v>
      </c>
      <c r="C2046" t="str">
        <f>"YSLETA INDEP SCHOOL DISTRICT"</f>
        <v>YSLETA INDEP SCHOOL DISTRICT</v>
      </c>
      <c r="D2046" t="s">
        <v>11</v>
      </c>
      <c r="E2046" t="s">
        <v>1654</v>
      </c>
      <c r="F2046" t="s">
        <v>220</v>
      </c>
      <c r="G2046">
        <v>79925</v>
      </c>
      <c r="H2046">
        <v>2010</v>
      </c>
      <c r="I2046" s="1">
        <v>0</v>
      </c>
      <c r="J2046" s="1">
        <v>0</v>
      </c>
    </row>
    <row r="2047" spans="1:11" x14ac:dyDescent="0.35">
      <c r="A2047">
        <v>735520</v>
      </c>
      <c r="B2047">
        <v>1997288</v>
      </c>
      <c r="C2047" t="str">
        <f>"YSLETA INDEP SCHOOL DISTRICT"</f>
        <v>YSLETA INDEP SCHOOL DISTRICT</v>
      </c>
      <c r="D2047" t="s">
        <v>11</v>
      </c>
      <c r="E2047" t="s">
        <v>1654</v>
      </c>
      <c r="F2047" t="s">
        <v>220</v>
      </c>
      <c r="G2047">
        <v>79925</v>
      </c>
      <c r="H2047">
        <v>2010</v>
      </c>
      <c r="I2047" s="1">
        <v>50571.360000000001</v>
      </c>
      <c r="J2047" s="1">
        <v>58128</v>
      </c>
      <c r="K2047" s="1">
        <v>50571.360000000001</v>
      </c>
    </row>
    <row r="2048" spans="1:11" x14ac:dyDescent="0.35">
      <c r="A2048">
        <v>728335</v>
      </c>
      <c r="B2048">
        <v>2042426</v>
      </c>
      <c r="C2048" t="str">
        <f>"ZAPATA INDEP SCHOOL DISTRICT"</f>
        <v>ZAPATA INDEP SCHOOL DISTRICT</v>
      </c>
      <c r="D2048" t="s">
        <v>11</v>
      </c>
      <c r="E2048" t="s">
        <v>1655</v>
      </c>
      <c r="F2048" t="s">
        <v>1656</v>
      </c>
      <c r="G2048">
        <v>78076</v>
      </c>
      <c r="H2048">
        <v>2010</v>
      </c>
      <c r="I2048" s="1">
        <v>3603.9</v>
      </c>
      <c r="J2048" s="1">
        <v>4395</v>
      </c>
      <c r="K2048" s="1">
        <v>3603.9</v>
      </c>
    </row>
    <row r="2049" spans="1:11" x14ac:dyDescent="0.35">
      <c r="A2049">
        <v>728335</v>
      </c>
      <c r="B2049">
        <v>2042408</v>
      </c>
      <c r="C2049" t="str">
        <f>"ZAPATA INDEP SCHOOL DISTRICT"</f>
        <v>ZAPATA INDEP SCHOOL DISTRICT</v>
      </c>
      <c r="D2049" t="s">
        <v>11</v>
      </c>
      <c r="E2049" t="s">
        <v>1655</v>
      </c>
      <c r="F2049" t="s">
        <v>1656</v>
      </c>
      <c r="G2049">
        <v>78076</v>
      </c>
      <c r="H2049">
        <v>2010</v>
      </c>
      <c r="I2049" s="1">
        <v>78710.16</v>
      </c>
      <c r="J2049" s="1">
        <v>95988</v>
      </c>
      <c r="K2049" s="1">
        <v>78710.16</v>
      </c>
    </row>
    <row r="2050" spans="1:11" x14ac:dyDescent="0.35">
      <c r="A2050">
        <v>756478</v>
      </c>
      <c r="B2050">
        <v>2044486</v>
      </c>
      <c r="C2050" t="str">
        <f>"ZAPATA INDEP SCHOOL DISTRICT"</f>
        <v>ZAPATA INDEP SCHOOL DISTRICT</v>
      </c>
      <c r="D2050" t="s">
        <v>11</v>
      </c>
      <c r="E2050" t="s">
        <v>1655</v>
      </c>
      <c r="F2050" t="s">
        <v>1656</v>
      </c>
      <c r="G2050">
        <v>78076</v>
      </c>
      <c r="H2050">
        <v>2010</v>
      </c>
      <c r="I2050" s="1">
        <v>0</v>
      </c>
      <c r="J2050" s="1">
        <v>0</v>
      </c>
    </row>
    <row r="2051" spans="1:11" x14ac:dyDescent="0.35">
      <c r="A2051">
        <v>738414</v>
      </c>
      <c r="B2051">
        <v>1999667</v>
      </c>
      <c r="C2051" t="str">
        <f>"ZAPATA INDEP SCHOOL DISTRICT"</f>
        <v>ZAPATA INDEP SCHOOL DISTRICT</v>
      </c>
      <c r="D2051" t="s">
        <v>11</v>
      </c>
      <c r="E2051" t="s">
        <v>1655</v>
      </c>
      <c r="F2051" t="s">
        <v>1656</v>
      </c>
      <c r="G2051">
        <v>78076</v>
      </c>
      <c r="H2051">
        <v>2010</v>
      </c>
      <c r="I2051" s="1">
        <v>0</v>
      </c>
      <c r="J2051" s="1">
        <v>0</v>
      </c>
    </row>
    <row r="2052" spans="1:11" x14ac:dyDescent="0.35">
      <c r="A2052">
        <v>753926</v>
      </c>
      <c r="B2052">
        <v>2039339</v>
      </c>
      <c r="C2052" t="str">
        <f>"ZAPATA INDEP SCHOOL DISTRICT"</f>
        <v>ZAPATA INDEP SCHOOL DISTRICT</v>
      </c>
      <c r="D2052" t="s">
        <v>11</v>
      </c>
      <c r="E2052" t="s">
        <v>1655</v>
      </c>
      <c r="F2052" t="s">
        <v>1656</v>
      </c>
      <c r="G2052">
        <v>78076</v>
      </c>
      <c r="H2052">
        <v>2010</v>
      </c>
      <c r="I2052" s="1">
        <v>0</v>
      </c>
      <c r="J2052" s="1">
        <v>0</v>
      </c>
    </row>
    <row r="2053" spans="1:11" x14ac:dyDescent="0.35">
      <c r="A2053">
        <v>711383</v>
      </c>
      <c r="B2053">
        <v>1940530</v>
      </c>
      <c r="C2053" t="str">
        <f>"ZAVALLA INDEP SCHOOL DISTRICT"</f>
        <v>ZAVALLA INDEP SCHOOL DISTRICT</v>
      </c>
      <c r="D2053" t="s">
        <v>11</v>
      </c>
      <c r="E2053" t="s">
        <v>213</v>
      </c>
      <c r="F2053" t="s">
        <v>1657</v>
      </c>
      <c r="G2053">
        <v>75980</v>
      </c>
      <c r="H2053">
        <v>2010</v>
      </c>
      <c r="I2053" s="1">
        <v>2880</v>
      </c>
      <c r="J2053" s="1">
        <v>3600</v>
      </c>
      <c r="K2053" s="1">
        <v>2640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2021-08-03T21:44:18Z</dcterms:created>
  <dcterms:modified xsi:type="dcterms:W3CDTF">2021-08-03T21:44:18Z</dcterms:modified>
</cp:coreProperties>
</file>