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School/"/>
    </mc:Choice>
  </mc:AlternateContent>
  <xr:revisionPtr revIDLastSave="0" documentId="8_{3319C2B1-1BFF-4DA8-9EBF-765D88AA9C1E}" xr6:coauthVersionLast="47" xr6:coauthVersionMax="47" xr10:uidLastSave="{00000000-0000-0000-0000-000000000000}"/>
  <bookViews>
    <workbookView xWindow="-110" yWindow="-110" windowWidth="19420" windowHeight="10420"/>
  </bookViews>
  <sheets>
    <sheet name="2002_School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</calcChain>
</file>

<file path=xl/sharedStrings.xml><?xml version="1.0" encoding="utf-8"?>
<sst xmlns="http://schemas.openxmlformats.org/spreadsheetml/2006/main" count="794" uniqueCount="329">
  <si>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</si>
  <si>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</si>
  <si>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</si>
  <si>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</si>
  <si>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</si>
  <si>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</si>
  <si>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</si>
  <si>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</si>
  <si>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</si>
  <si>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</si>
  <si>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</si>
  <si>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SCHOOL</t>
  </si>
  <si>
    <t>5878 BELLFORT ST</t>
  </si>
  <si>
    <t>HOUSTON</t>
  </si>
  <si>
    <t>630 PLEASANT RUN ROAD</t>
  </si>
  <si>
    <t>LANCASTER</t>
  </si>
  <si>
    <t>219 SOUTH FIRST STREET</t>
  </si>
  <si>
    <t>ABBOTT</t>
  </si>
  <si>
    <t>1275 CEDAR STREET</t>
  </si>
  <si>
    <t>BEAUMONT</t>
  </si>
  <si>
    <t>1030 OAKRIVER PARK</t>
  </si>
  <si>
    <t>DALLAS</t>
  </si>
  <si>
    <t>8282 BISSONNOT  NO. 400</t>
  </si>
  <si>
    <t>1485 HILLCREST DRIVE</t>
  </si>
  <si>
    <t>SAN ANTONIO</t>
  </si>
  <si>
    <t>14035 S MAIN</t>
  </si>
  <si>
    <t>2280 LOOP 286 NE</t>
  </si>
  <si>
    <t>PARIS</t>
  </si>
  <si>
    <t>4215 H STREET</t>
  </si>
  <si>
    <t>52 31 Meadowcreek Drive</t>
  </si>
  <si>
    <t>Dallas</t>
  </si>
  <si>
    <t>3201 BOONVILLE RD.</t>
  </si>
  <si>
    <t>BRYAN</t>
  </si>
  <si>
    <t>601 E. Main Street - P. O. Box 13</t>
  </si>
  <si>
    <t>ALLEN</t>
  </si>
  <si>
    <t>7115 CLAREWOOD</t>
  </si>
  <si>
    <t>P.O. BOX 387</t>
  </si>
  <si>
    <t>ALVARADO</t>
  </si>
  <si>
    <t>PO BOX 248</t>
  </si>
  <si>
    <t>AMHERST</t>
  </si>
  <si>
    <t>5500 EL CAMINO DEL REY</t>
  </si>
  <si>
    <t>PO BOX 729</t>
  </si>
  <si>
    <t>ROUND ROCK</t>
  </si>
  <si>
    <t>800 EAGLE DR</t>
  </si>
  <si>
    <t>ARGYLE</t>
  </si>
  <si>
    <t>8201 CANYON DRIVE</t>
  </si>
  <si>
    <t>AMARILLO</t>
  </si>
  <si>
    <t>2000 JJ Flewellen</t>
  </si>
  <si>
    <t>WACO</t>
  </si>
  <si>
    <t>4924 GRIGGS ROAD</t>
  </si>
  <si>
    <t>6643 CHETWOOD STREET</t>
  </si>
  <si>
    <t>FM989 S KINGS HWY</t>
  </si>
  <si>
    <t>TEXARKANA</t>
  </si>
  <si>
    <t>3900 RUGGED DR</t>
  </si>
  <si>
    <t>7720 GAYGLEN DR</t>
  </si>
  <si>
    <t>9001 DIANA DR</t>
  </si>
  <si>
    <t>EL PASO</t>
  </si>
  <si>
    <t>710 CHURCH STREET</t>
  </si>
  <si>
    <t>BLUFF DALE</t>
  </si>
  <si>
    <t>240 W KINCAID AVE</t>
  </si>
  <si>
    <t>GAIL</t>
  </si>
  <si>
    <t>P.O. BOX 949</t>
  </si>
  <si>
    <t>NEMO</t>
  </si>
  <si>
    <t>2507 CENTRAL FREEWAY E.</t>
  </si>
  <si>
    <t>WICHITA FALLS</t>
  </si>
  <si>
    <t>220 S HENRY ST</t>
  </si>
  <si>
    <t>FALFURRIAS</t>
  </si>
  <si>
    <t>7310 BISHOP FLORES</t>
  </si>
  <si>
    <t>308 E BRIER LN</t>
  </si>
  <si>
    <t>BURNET</t>
  </si>
  <si>
    <t>HARRISON ST</t>
  </si>
  <si>
    <t>BYERS</t>
  </si>
  <si>
    <t>2998 FM 503</t>
  </si>
  <si>
    <t>TALPA</t>
  </si>
  <si>
    <t>1731 SOUTH WW WHITE ROAD</t>
  </si>
  <si>
    <t>217 PASO HONDO</t>
  </si>
  <si>
    <t>PO BOX 411</t>
  </si>
  <si>
    <t>LOMETA</t>
  </si>
  <si>
    <t>1403 N. ST. MARY'S ST.</t>
  </si>
  <si>
    <t>1218 COMANCHE ST</t>
  </si>
  <si>
    <t>CORPUS CHRISTI</t>
  </si>
  <si>
    <t>905 DURANGO</t>
  </si>
  <si>
    <t>CHILTON</t>
  </si>
  <si>
    <t>P.O. BOX 32</t>
  </si>
  <si>
    <t>MEADOW</t>
  </si>
  <si>
    <t>6570 WEST BELLFORT</t>
  </si>
  <si>
    <t>2547 US HWY 77</t>
  </si>
  <si>
    <t>DRICOLL</t>
  </si>
  <si>
    <t>P.O. BOX 70  1002 KIRVEN ST.</t>
  </si>
  <si>
    <t>COOLIDGE</t>
  </si>
  <si>
    <t>1150 DEVEREUX DRIVE</t>
  </si>
  <si>
    <t>LEAGUE CITY</t>
  </si>
  <si>
    <t>120 DAVID WADE DRIVE</t>
  </si>
  <si>
    <t>VICTORIA</t>
  </si>
  <si>
    <t>1102 PINEMONT AVE.</t>
  </si>
  <si>
    <t>3920 STONEY BROOK</t>
  </si>
  <si>
    <t>1421 MORROW AVE</t>
  </si>
  <si>
    <t>1200 OLD DECATUR RD</t>
  </si>
  <si>
    <t>SAGINAW</t>
  </si>
  <si>
    <t>920 SANTA ROSA AVE</t>
  </si>
  <si>
    <t>EDCOUCH</t>
  </si>
  <si>
    <t>2221  LUCAS DRIVE</t>
  </si>
  <si>
    <t>11000 ARGAL COURT</t>
  </si>
  <si>
    <t>900 W 2ND ST</t>
  </si>
  <si>
    <t>ELGIN</t>
  </si>
  <si>
    <t>HIGHWAY 281</t>
  </si>
  <si>
    <t>ENCINO</t>
  </si>
  <si>
    <t>615 NORTH 25TH STREET</t>
  </si>
  <si>
    <t>7950   WEST  FUQUA      ST AT FONDREN</t>
  </si>
  <si>
    <t>MISSOURI CITY</t>
  </si>
  <si>
    <t>20500 FM 531</t>
  </si>
  <si>
    <t>HALLETTSVILLE</t>
  </si>
  <si>
    <t>16150 PRESTON RD</t>
  </si>
  <si>
    <t>237 Tobin Pl</t>
  </si>
  <si>
    <t>El Paso</t>
  </si>
  <si>
    <t>250 WASHINGTON</t>
  </si>
  <si>
    <t>1401 PAT BOOKER ROAD</t>
  </si>
  <si>
    <t>UNIVERSAL CITY</t>
  </si>
  <si>
    <t>501 E WILSON</t>
  </si>
  <si>
    <t>BRISCOE</t>
  </si>
  <si>
    <t>400 COLLEGE</t>
  </si>
  <si>
    <t>GAUSE</t>
  </si>
  <si>
    <t>10912 SOUTH POST OAK</t>
  </si>
  <si>
    <t>8415 WEST BELLFORT</t>
  </si>
  <si>
    <t>926 SAINT LAWRENCE ST</t>
  </si>
  <si>
    <t>GONZALES</t>
  </si>
  <si>
    <t>1415 MARKET ST</t>
  </si>
  <si>
    <t>BAYTOWN</t>
  </si>
  <si>
    <t>116 WEST MYRTLE STREET</t>
  </si>
  <si>
    <t>GRAPELAND</t>
  </si>
  <si>
    <t>503 W MAIN</t>
  </si>
  <si>
    <t>GUSTINE</t>
  </si>
  <si>
    <t>5435 S. BRAESWOOD</t>
  </si>
  <si>
    <t>618 Live Oak</t>
  </si>
  <si>
    <t>San Antonio</t>
  </si>
  <si>
    <t>900 WHEELOCK ST</t>
  </si>
  <si>
    <t>HEARNE</t>
  </si>
  <si>
    <t>2200 S EDGEFIELD AVE</t>
  </si>
  <si>
    <t>2022 W. NW HWY, ROOM 129</t>
  </si>
  <si>
    <t>GRAPEVINE</t>
  </si>
  <si>
    <t>1019 16TH STREET</t>
  </si>
  <si>
    <t>GALVESTON</t>
  </si>
  <si>
    <t>1026 SCHOOL AVE.</t>
  </si>
  <si>
    <t>HERMLEIGH</t>
  </si>
  <si>
    <t>406 NORTH MAIN STREET</t>
  </si>
  <si>
    <t>HIGGINS</t>
  </si>
  <si>
    <t>PO BOX 18854</t>
  </si>
  <si>
    <t>4817 ODESSA AVE.</t>
  </si>
  <si>
    <t>FORT WORTH</t>
  </si>
  <si>
    <t>426 N SAN FELIPE AVE</t>
  </si>
  <si>
    <t>1408 JAMES ST</t>
  </si>
  <si>
    <t>ROSENBERG</t>
  </si>
  <si>
    <t>1305 BENSON</t>
  </si>
  <si>
    <t>902 WEST 8TH STREET</t>
  </si>
  <si>
    <t>100 ROBERTS ST</t>
  </si>
  <si>
    <t>HOWE</t>
  </si>
  <si>
    <t>RT 12 BOX 8600</t>
  </si>
  <si>
    <t>LUFKIN</t>
  </si>
  <si>
    <t>11526  FAIRMONT</t>
  </si>
  <si>
    <t>244 RESACA BLVD.</t>
  </si>
  <si>
    <t>BROWNVILLE</t>
  </si>
  <si>
    <t>9424 MILITARY PARKWAY</t>
  </si>
  <si>
    <t>3060 FM 728</t>
  </si>
  <si>
    <t>JEFFERSON</t>
  </si>
  <si>
    <t>5400  GRIGGS  RD</t>
  </si>
  <si>
    <t>10711 KIPP Way</t>
  </si>
  <si>
    <t>4516 MERLE DRIVE</t>
  </si>
  <si>
    <t>AUSTIN</t>
  </si>
  <si>
    <t>21261 NORTH HIGHWAY 219</t>
  </si>
  <si>
    <t>LINGLEVILLE</t>
  </si>
  <si>
    <t>4808 AIRPORT AVE</t>
  </si>
  <si>
    <t>800 S LIGHTFOOT ST</t>
  </si>
  <si>
    <t>LORAINE</t>
  </si>
  <si>
    <t>215 Rittenhouse Road</t>
  </si>
  <si>
    <t>Houston</t>
  </si>
  <si>
    <t>517 South Florence St.</t>
  </si>
  <si>
    <t>832 FIFTH AVENUE NORTH</t>
  </si>
  <si>
    <t>TEXAS CITY</t>
  </si>
  <si>
    <t>3120 INWOOD RD</t>
  </si>
  <si>
    <t>1920 NORTH BRAESWOOD</t>
  </si>
  <si>
    <t>P O BOX 1</t>
  </si>
  <si>
    <t>MEYERSVILLE</t>
  </si>
  <si>
    <t>HWY. 175, P.O. BOX 78</t>
  </si>
  <si>
    <t>MONTAGUE</t>
  </si>
  <si>
    <t>13159 WALDEN RD</t>
  </si>
  <si>
    <t>MONTGOMERY</t>
  </si>
  <si>
    <t>900 MAIN</t>
  </si>
  <si>
    <t>MORAN</t>
  </si>
  <si>
    <t>FARM MARKET RD 1189 &amp; HWY 281</t>
  </si>
  <si>
    <t>MORGAN MILL</t>
  </si>
  <si>
    <t>5950 KELLY DR</t>
  </si>
  <si>
    <t>2429 MARTIN LUTHER KING BLVD.</t>
  </si>
  <si>
    <t>4443 OLD SPRING TRAIL</t>
  </si>
  <si>
    <t>EAST RODRIQUEZ AVENUE</t>
  </si>
  <si>
    <t>RAYMONDVILLE</t>
  </si>
  <si>
    <t>1414 W. SAN ANTONIO</t>
  </si>
  <si>
    <t>NEW BRAUNFELS</t>
  </si>
  <si>
    <t>2821 LANSING BLVD.</t>
  </si>
  <si>
    <t>508 HORNET BLVD</t>
  </si>
  <si>
    <t>NOVICE</t>
  </si>
  <si>
    <t>100 NURSERY DRIVE</t>
  </si>
  <si>
    <t>NURSERY</t>
  </si>
  <si>
    <t>1122 PR 2562</t>
  </si>
  <si>
    <t>ROWENA</t>
  </si>
  <si>
    <t>5555 MAPLE AVE</t>
  </si>
  <si>
    <t>314 MERIDA STREET</t>
  </si>
  <si>
    <t>301 S SAN ANTONIO</t>
  </si>
  <si>
    <t>PORT LAVACA</t>
  </si>
  <si>
    <t>RR 2 BOX 190</t>
  </si>
  <si>
    <t>HASKELL</t>
  </si>
  <si>
    <t>JCT. HWY 673&amp;798</t>
  </si>
  <si>
    <t>PAWNEE</t>
  </si>
  <si>
    <t>5110 MANOR ROAD</t>
  </si>
  <si>
    <t>309 Avenue D</t>
  </si>
  <si>
    <t>PENELOPE</t>
  </si>
  <si>
    <t>PO BOX 394, HIGHWAY 303</t>
  </si>
  <si>
    <t>PEP</t>
  </si>
  <si>
    <t>9847 MESA DRIVE</t>
  </si>
  <si>
    <t>4500 W DAVIS ST</t>
  </si>
  <si>
    <t>4422 BALKIN</t>
  </si>
  <si>
    <t>1305 SOUTHWEST LOOP 410</t>
  </si>
  <si>
    <t>ROUTE 4  BOX 182</t>
  </si>
  <si>
    <t>CANTON</t>
  </si>
  <si>
    <t>2950 BROADWAY</t>
  </si>
  <si>
    <t>1 BEARKAT BLVD</t>
  </si>
  <si>
    <t>3230 TRAVIS COUNTRY CIRCLE</t>
  </si>
  <si>
    <t>2102 N 23RD ST</t>
  </si>
  <si>
    <t>916 Majestic Street</t>
  </si>
  <si>
    <t>138 WEST CTY. RD. 2160</t>
  </si>
  <si>
    <t>KINGSVILLE</t>
  </si>
  <si>
    <t>1310 PENNSYLVANIA AVE</t>
  </si>
  <si>
    <t>600 FREDERICK ST</t>
  </si>
  <si>
    <t>RIESEL</t>
  </si>
  <si>
    <t>MAIN STREET, BOX 190</t>
  </si>
  <si>
    <t>ROCHESTER</t>
  </si>
  <si>
    <t>1207 DOLLYWRIGHT STREET</t>
  </si>
  <si>
    <t>10750 CRADLEROCK DR</t>
  </si>
  <si>
    <t>209 E. Greenwood St.</t>
  </si>
  <si>
    <t>Del Rio</t>
  </si>
  <si>
    <t>111 N CHURCH ST</t>
  </si>
  <si>
    <t>ROCKPORT</t>
  </si>
  <si>
    <t>3304 DRYDEN ROAD</t>
  </si>
  <si>
    <t>743 North SAM HOUSTON BLVD</t>
  </si>
  <si>
    <t>SAN BENITO</t>
  </si>
  <si>
    <t>905 NORTH TEXAS BLVD</t>
  </si>
  <si>
    <t>WESLACO</t>
  </si>
  <si>
    <t>308 S. RIDGELAND DRAWER 1290</t>
  </si>
  <si>
    <t>FRITCH</t>
  </si>
  <si>
    <t>321 Calumet Avenue</t>
  </si>
  <si>
    <t>1801 AVENUE K</t>
  </si>
  <si>
    <t>SEAGRAVES</t>
  </si>
  <si>
    <t>100 S ILLINOIS ST</t>
  </si>
  <si>
    <t>SHAMROCK</t>
  </si>
  <si>
    <t>2659 EISENHOWER ROAD</t>
  </si>
  <si>
    <t>1053 CR 403</t>
  </si>
  <si>
    <t>GAINESVILLE</t>
  </si>
  <si>
    <t>2117 S 34TH STREET</t>
  </si>
  <si>
    <t>MCALLEN</t>
  </si>
  <si>
    <t>2400 AUGUSTA  BLVD.</t>
  </si>
  <si>
    <t>HUSTON</t>
  </si>
  <si>
    <t>14880 Belaire Blvd</t>
  </si>
  <si>
    <t>1248 AUSTIN HWY #220</t>
  </si>
  <si>
    <t>8009 LONG POINT ROAD</t>
  </si>
  <si>
    <t>850 FORSYTHE ST</t>
  </si>
  <si>
    <t>635 BONHAM ST</t>
  </si>
  <si>
    <t>COLUMBUS</t>
  </si>
  <si>
    <t>203 Dunne St.</t>
  </si>
  <si>
    <t>Robstown</t>
  </si>
  <si>
    <t>205 W HUISACHE AVE</t>
  </si>
  <si>
    <t>635 MARY CLIFF RD</t>
  </si>
  <si>
    <t>8100 ROOS RD</t>
  </si>
  <si>
    <t>521 S NEW BRAUNFELS AVE</t>
  </si>
  <si>
    <t>2213 OLD ALVIN ROAD</t>
  </si>
  <si>
    <t>PEARLAND</t>
  </si>
  <si>
    <t>1147 CUPPLES RD</t>
  </si>
  <si>
    <t>4118 S BONHAM ST</t>
  </si>
  <si>
    <t>610 MADRID ST</t>
  </si>
  <si>
    <t>CASTROVILLE</t>
  </si>
  <si>
    <t>410 NORTH TYLER</t>
  </si>
  <si>
    <t>BEEVILLE</t>
  </si>
  <si>
    <t>10703 WURZBACH RD</t>
  </si>
  <si>
    <t>10950 Martin Luther King Jr Blvd</t>
  </si>
  <si>
    <t>3030 GUS THOMASSON RD</t>
  </si>
  <si>
    <t>5927 WIGTON DR</t>
  </si>
  <si>
    <t>5500 LAUREL CREEK</t>
  </si>
  <si>
    <t>824 HUDGINS ST.</t>
  </si>
  <si>
    <t>2800 WEST  SHAW</t>
  </si>
  <si>
    <t>TYLER</t>
  </si>
  <si>
    <t>F M RD 531 &amp; 318</t>
  </si>
  <si>
    <t>SWEET HOME</t>
  </si>
  <si>
    <t>116 WEST 5TH STREET</t>
  </si>
  <si>
    <t>1 TIGER DRIVE</t>
  </si>
  <si>
    <t>TENAHA</t>
  </si>
  <si>
    <t>1708 N. WESTMORELAND RD.</t>
  </si>
  <si>
    <t>DE SOTO</t>
  </si>
  <si>
    <t>10835 ROCKLEY</t>
  </si>
  <si>
    <t>3801 LOUIS J. RODRIGUEZ DRIVE</t>
  </si>
  <si>
    <t>4327   E  LANCASTER</t>
  </si>
  <si>
    <t>FORTSWORTH</t>
  </si>
  <si>
    <t>247 CR 207</t>
  </si>
  <si>
    <t>STEPHENVILLE</t>
  </si>
  <si>
    <t>9560 HIGHFIELD DR</t>
  </si>
  <si>
    <t>215 SOUTH MESQUITE</t>
  </si>
  <si>
    <t>TOLAR</t>
  </si>
  <si>
    <t>1100 South 33rd Street</t>
  </si>
  <si>
    <t>TEMPLE</t>
  </si>
  <si>
    <t>807 NORTH 8TH STREET</t>
  </si>
  <si>
    <t>KILLEEN</t>
  </si>
  <si>
    <t>6125 BOSQUE BLVD</t>
  </si>
  <si>
    <t>1214 SOUTH BRIDGE</t>
  </si>
  <si>
    <t>2701 Breedlove</t>
  </si>
  <si>
    <t>HARLINGEN</t>
  </si>
  <si>
    <t>400 S I ROAD</t>
  </si>
  <si>
    <t>PHARR</t>
  </si>
  <si>
    <t>10062 FM HIGHWAY 380</t>
  </si>
  <si>
    <t>VERIBEST</t>
  </si>
  <si>
    <t>595 COUNTY RD 182</t>
  </si>
  <si>
    <t>10835 ROCKLEY ROAD</t>
  </si>
  <si>
    <t>2 WALNUT BEND RD</t>
  </si>
  <si>
    <t>P O BOX 38</t>
  </si>
  <si>
    <t>WESTHOFF</t>
  </si>
  <si>
    <t>209 S ROGERS ROAD</t>
  </si>
  <si>
    <t>IRVING</t>
  </si>
  <si>
    <t>5807 CALHOUN ROAD</t>
  </si>
  <si>
    <t>353 CRENSHAW ROAD</t>
  </si>
  <si>
    <t>5614 H. MARK CROSSWELL</t>
  </si>
  <si>
    <t>6701 CULLEN BLVD</t>
  </si>
  <si>
    <t>1600 barney view road</t>
  </si>
  <si>
    <t>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</si>
</sst>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322264</v>
      </c>
      <c r="B2">
        <v>859837</v>
      </c>
      <c r="C2" t="str">
        <f>"A R CARETHERS SDA SCHOOL"</f>
        <v>A R CARETHERS SDA SCHOOL</v>
      </c>
      <c r="D2" t="s">
        <v>11</v>
      </c>
      <c r="E2" t="s">
        <v>12</v>
      </c>
      <c r="F2" t="s">
        <v>13</v>
      </c>
      <c r="G2">
        <v>77033</v>
      </c>
      <c r="H2">
        <v>2002</v>
      </c>
      <c r="I2" s="1">
        <v>0</v>
      </c>
      <c r="J2" s="1">
        <v>0</v>
      </c>
    </row>
    <row r="3" spans="1:11" x14ac:dyDescent="0.35">
      <c r="A3">
        <v>329613</v>
      </c>
      <c r="B3">
        <v>889568</v>
      </c>
      <c r="C3" t="str">
        <f>"A+ ACADEMY"</f>
        <v>A+ ACADEMY</v>
      </c>
      <c r="D3" t="s">
        <v>11</v>
      </c>
      <c r="E3" t="s">
        <v>14</v>
      </c>
      <c r="F3" t="s">
        <v>15</v>
      </c>
      <c r="G3">
        <v>75146</v>
      </c>
      <c r="H3">
        <v>2002</v>
      </c>
      <c r="I3" s="1">
        <v>0</v>
      </c>
      <c r="J3" s="1">
        <v>0</v>
      </c>
    </row>
    <row r="4" spans="1:11" x14ac:dyDescent="0.35">
      <c r="A4">
        <v>290833</v>
      </c>
      <c r="B4">
        <v>789156</v>
      </c>
      <c r="C4" t="str">
        <f>"ABBOTT INDEP SCHOOL DISTRICT"</f>
        <v>ABBOTT INDEP SCHOOL DISTRICT</v>
      </c>
      <c r="D4" t="s">
        <v>11</v>
      </c>
      <c r="E4" t="s">
        <v>16</v>
      </c>
      <c r="F4" t="s">
        <v>17</v>
      </c>
      <c r="G4">
        <v>76621</v>
      </c>
      <c r="H4">
        <v>2002</v>
      </c>
      <c r="I4" s="1">
        <v>7140</v>
      </c>
      <c r="J4" s="1">
        <v>10200</v>
      </c>
      <c r="K4" s="1">
        <v>7140</v>
      </c>
    </row>
    <row r="5" spans="1:11" x14ac:dyDescent="0.35">
      <c r="A5">
        <v>324191</v>
      </c>
      <c r="B5">
        <v>866760</v>
      </c>
      <c r="C5" t="str">
        <f>"ACADEMY OF BEAUMONT"</f>
        <v>ACADEMY OF BEAUMONT</v>
      </c>
      <c r="D5" t="s">
        <v>11</v>
      </c>
      <c r="E5" t="s">
        <v>18</v>
      </c>
      <c r="F5" t="s">
        <v>19</v>
      </c>
      <c r="G5">
        <v>77701</v>
      </c>
      <c r="H5">
        <v>2002</v>
      </c>
      <c r="I5" s="1">
        <v>391.25</v>
      </c>
      <c r="J5" s="1">
        <v>1067.04</v>
      </c>
      <c r="K5" s="1">
        <v>391.25</v>
      </c>
    </row>
    <row r="6" spans="1:11" x14ac:dyDescent="0.35">
      <c r="A6">
        <v>324455</v>
      </c>
      <c r="B6">
        <v>867963</v>
      </c>
      <c r="C6" t="str">
        <f>"ACADEMY OF DALLAS CHARTER SCHOOL"</f>
        <v>ACADEMY OF DALLAS CHARTER SCHOOL</v>
      </c>
      <c r="D6" t="s">
        <v>11</v>
      </c>
      <c r="E6" t="s">
        <v>20</v>
      </c>
      <c r="F6" t="s">
        <v>21</v>
      </c>
      <c r="G6">
        <v>75232</v>
      </c>
      <c r="H6">
        <v>2002</v>
      </c>
      <c r="I6" s="1">
        <v>6305.69</v>
      </c>
      <c r="J6" s="1">
        <v>7006.32</v>
      </c>
      <c r="K6" s="1">
        <v>6305.69</v>
      </c>
    </row>
    <row r="7" spans="1:11" x14ac:dyDescent="0.35">
      <c r="A7">
        <v>324410</v>
      </c>
      <c r="B7">
        <v>867732</v>
      </c>
      <c r="C7" t="str">
        <f>"ACADEMY OF HOUSTON"</f>
        <v>ACADEMY OF HOUSTON</v>
      </c>
      <c r="D7" t="s">
        <v>11</v>
      </c>
      <c r="E7" t="s">
        <v>22</v>
      </c>
      <c r="F7" t="s">
        <v>13</v>
      </c>
      <c r="G7">
        <v>77074</v>
      </c>
      <c r="H7">
        <v>2002</v>
      </c>
      <c r="I7" s="1">
        <v>2918.21</v>
      </c>
      <c r="J7" s="1">
        <v>7295.52</v>
      </c>
      <c r="K7" s="1">
        <v>2918.21</v>
      </c>
    </row>
    <row r="8" spans="1:11" x14ac:dyDescent="0.35">
      <c r="A8">
        <v>324247</v>
      </c>
      <c r="B8">
        <v>867038</v>
      </c>
      <c r="C8" t="str">
        <f>"ACADEMY OF SAN ANTONIO"</f>
        <v>ACADEMY OF SAN ANTONIO</v>
      </c>
      <c r="D8" t="s">
        <v>11</v>
      </c>
      <c r="E8" t="s">
        <v>23</v>
      </c>
      <c r="F8" t="s">
        <v>24</v>
      </c>
      <c r="G8">
        <v>78228</v>
      </c>
      <c r="H8">
        <v>2002</v>
      </c>
      <c r="I8" s="1">
        <v>2835.36</v>
      </c>
      <c r="J8" s="1">
        <v>7732.8</v>
      </c>
      <c r="K8" s="1">
        <v>2835.36</v>
      </c>
    </row>
    <row r="9" spans="1:11" x14ac:dyDescent="0.35">
      <c r="A9">
        <v>307151</v>
      </c>
      <c r="B9">
        <v>796383</v>
      </c>
      <c r="C9" t="str">
        <f>"ACCELERATED INTERMEDIATE ACADEMY"</f>
        <v>ACCELERATED INTERMEDIATE ACADEMY</v>
      </c>
      <c r="D9" t="s">
        <v>11</v>
      </c>
      <c r="E9" t="s">
        <v>25</v>
      </c>
      <c r="F9" t="s">
        <v>13</v>
      </c>
      <c r="G9">
        <v>77056</v>
      </c>
      <c r="H9">
        <v>2002</v>
      </c>
      <c r="I9" s="1">
        <v>648</v>
      </c>
      <c r="J9" s="1">
        <v>2160</v>
      </c>
    </row>
    <row r="10" spans="1:11" x14ac:dyDescent="0.35">
      <c r="A10">
        <v>329755</v>
      </c>
      <c r="B10">
        <v>890046</v>
      </c>
      <c r="C10" t="str">
        <f>"ADHD SCHOOL"</f>
        <v>ADHD SCHOOL</v>
      </c>
      <c r="D10" t="s">
        <v>11</v>
      </c>
      <c r="E10" t="s">
        <v>26</v>
      </c>
      <c r="F10" t="s">
        <v>27</v>
      </c>
      <c r="G10">
        <v>75460</v>
      </c>
      <c r="H10">
        <v>2002</v>
      </c>
      <c r="I10" s="1">
        <v>57139.199999999997</v>
      </c>
      <c r="J10" s="1">
        <v>63488</v>
      </c>
    </row>
    <row r="11" spans="1:11" x14ac:dyDescent="0.35">
      <c r="A11">
        <v>317561</v>
      </c>
      <c r="B11">
        <v>838149</v>
      </c>
      <c r="C11" t="str">
        <f>"ALIES MONTESSORI COMMUNITY SCHOOL"</f>
        <v>ALIES MONTESSORI COMMUNITY SCHOOL</v>
      </c>
      <c r="D11" t="s">
        <v>11</v>
      </c>
      <c r="E11" t="s">
        <v>28</v>
      </c>
      <c r="F11" t="s">
        <v>13</v>
      </c>
      <c r="G11">
        <v>77072</v>
      </c>
      <c r="H11">
        <v>2002</v>
      </c>
      <c r="I11" s="1">
        <v>0</v>
      </c>
      <c r="J11" s="1">
        <v>0</v>
      </c>
    </row>
    <row r="12" spans="1:11" x14ac:dyDescent="0.35">
      <c r="A12">
        <v>317561</v>
      </c>
      <c r="B12">
        <v>839364</v>
      </c>
      <c r="C12" t="str">
        <f>"ALIES MONTESSORI COMMUNITY SCHOOL"</f>
        <v>ALIES MONTESSORI COMMUNITY SCHOOL</v>
      </c>
      <c r="D12" t="s">
        <v>11</v>
      </c>
      <c r="E12" t="s">
        <v>28</v>
      </c>
      <c r="F12" t="s">
        <v>13</v>
      </c>
      <c r="G12">
        <v>77072</v>
      </c>
      <c r="H12">
        <v>2002</v>
      </c>
      <c r="I12" s="1">
        <v>0</v>
      </c>
      <c r="J12" s="1">
        <v>0</v>
      </c>
    </row>
    <row r="13" spans="1:11" x14ac:dyDescent="0.35">
      <c r="A13">
        <v>292163</v>
      </c>
      <c r="B13">
        <v>864021</v>
      </c>
      <c r="C13" t="str">
        <f>"ALL SAINTS CATHOLIC SCHOOL"</f>
        <v>ALL SAINTS CATHOLIC SCHOOL</v>
      </c>
      <c r="D13" t="s">
        <v>11</v>
      </c>
      <c r="E13" t="s">
        <v>29</v>
      </c>
      <c r="F13" t="s">
        <v>30</v>
      </c>
      <c r="G13">
        <v>75248</v>
      </c>
      <c r="H13">
        <v>2002</v>
      </c>
      <c r="I13" s="1">
        <v>1152</v>
      </c>
      <c r="J13" s="1">
        <v>2880</v>
      </c>
      <c r="K13" s="1">
        <v>1152</v>
      </c>
    </row>
    <row r="14" spans="1:11" x14ac:dyDescent="0.35">
      <c r="A14">
        <v>290784</v>
      </c>
      <c r="B14">
        <v>743092</v>
      </c>
      <c r="C14" t="str">
        <f>"ALLEN ACADEMY"</f>
        <v>ALLEN ACADEMY</v>
      </c>
      <c r="D14" t="s">
        <v>11</v>
      </c>
      <c r="E14" t="s">
        <v>31</v>
      </c>
      <c r="F14" t="s">
        <v>32</v>
      </c>
      <c r="G14">
        <v>77802</v>
      </c>
      <c r="H14">
        <v>2002</v>
      </c>
      <c r="I14" s="1">
        <v>1200</v>
      </c>
      <c r="J14" s="1">
        <v>3000</v>
      </c>
    </row>
    <row r="15" spans="1:11" x14ac:dyDescent="0.35">
      <c r="A15">
        <v>318288</v>
      </c>
      <c r="B15">
        <v>841485</v>
      </c>
      <c r="C15" t="str">
        <f>"ALLEN INDEP SCHOOL DISTRICT"</f>
        <v>ALLEN INDEP SCHOOL DISTRICT</v>
      </c>
      <c r="D15" t="s">
        <v>11</v>
      </c>
      <c r="E15" t="s">
        <v>33</v>
      </c>
      <c r="F15" t="s">
        <v>34</v>
      </c>
      <c r="G15">
        <v>75013</v>
      </c>
      <c r="H15">
        <v>2002</v>
      </c>
      <c r="I15" s="1">
        <v>24000</v>
      </c>
      <c r="J15" s="1">
        <v>60000</v>
      </c>
      <c r="K15" s="1">
        <v>21145.16</v>
      </c>
    </row>
    <row r="16" spans="1:11" x14ac:dyDescent="0.35">
      <c r="A16">
        <v>316415</v>
      </c>
      <c r="B16">
        <v>867878</v>
      </c>
      <c r="C16" t="str">
        <f>"ALPHONSO CRUTCH CHARTER SCHOOL"</f>
        <v>ALPHONSO CRUTCH CHARTER SCHOOL</v>
      </c>
      <c r="D16" t="s">
        <v>11</v>
      </c>
      <c r="E16" t="s">
        <v>35</v>
      </c>
      <c r="F16" t="s">
        <v>13</v>
      </c>
      <c r="G16">
        <v>77036</v>
      </c>
      <c r="H16">
        <v>2002</v>
      </c>
      <c r="I16" s="1">
        <v>5136</v>
      </c>
      <c r="J16" s="1">
        <v>6420</v>
      </c>
      <c r="K16" s="1">
        <v>5136</v>
      </c>
    </row>
    <row r="17" spans="1:11" x14ac:dyDescent="0.35">
      <c r="A17">
        <v>316415</v>
      </c>
      <c r="B17">
        <v>834107</v>
      </c>
      <c r="C17" t="str">
        <f>"ALPHONSO CRUTCH CHARTER SCHOOL"</f>
        <v>ALPHONSO CRUTCH CHARTER SCHOOL</v>
      </c>
      <c r="D17" t="s">
        <v>11</v>
      </c>
      <c r="E17" t="s">
        <v>35</v>
      </c>
      <c r="F17" t="s">
        <v>13</v>
      </c>
      <c r="G17">
        <v>77036</v>
      </c>
      <c r="H17">
        <v>2002</v>
      </c>
      <c r="I17" s="1">
        <v>52963.199999999997</v>
      </c>
      <c r="J17" s="1">
        <v>66204</v>
      </c>
    </row>
    <row r="18" spans="1:11" x14ac:dyDescent="0.35">
      <c r="A18">
        <v>315206</v>
      </c>
      <c r="B18">
        <v>829081</v>
      </c>
      <c r="C18" t="str">
        <f>"ALVARADO INDEP SCHOOL DISTRICT"</f>
        <v>ALVARADO INDEP SCHOOL DISTRICT</v>
      </c>
      <c r="D18" t="s">
        <v>11</v>
      </c>
      <c r="E18" t="s">
        <v>36</v>
      </c>
      <c r="F18" t="s">
        <v>37</v>
      </c>
      <c r="G18">
        <v>76009</v>
      </c>
      <c r="H18">
        <v>2002</v>
      </c>
      <c r="I18" s="1">
        <v>4636.8</v>
      </c>
      <c r="J18" s="1">
        <v>6720</v>
      </c>
      <c r="K18" s="1">
        <v>3898.5</v>
      </c>
    </row>
    <row r="19" spans="1:11" x14ac:dyDescent="0.35">
      <c r="A19">
        <v>315632</v>
      </c>
      <c r="B19">
        <v>829389</v>
      </c>
      <c r="C19" t="str">
        <f>"AMHERST SCHOOL"</f>
        <v>AMHERST SCHOOL</v>
      </c>
      <c r="D19" t="s">
        <v>11</v>
      </c>
      <c r="E19" t="s">
        <v>38</v>
      </c>
      <c r="F19" t="s">
        <v>39</v>
      </c>
      <c r="G19">
        <v>79312</v>
      </c>
      <c r="H19">
        <v>2002</v>
      </c>
      <c r="I19" s="1">
        <v>4224</v>
      </c>
      <c r="J19" s="1">
        <v>5280</v>
      </c>
    </row>
    <row r="20" spans="1:11" x14ac:dyDescent="0.35">
      <c r="A20">
        <v>324229</v>
      </c>
      <c r="B20">
        <v>866975</v>
      </c>
      <c r="C20" t="str">
        <f>"AMIGO POR VIDA-FRIENDS FOR LIFE CHARTER SCHOOL"</f>
        <v>AMIGO POR VIDA-FRIENDS FOR LIFE CHARTER SCHOOL</v>
      </c>
      <c r="D20" t="s">
        <v>11</v>
      </c>
      <c r="E20" t="s">
        <v>40</v>
      </c>
      <c r="F20" t="s">
        <v>13</v>
      </c>
      <c r="G20">
        <v>77081</v>
      </c>
      <c r="H20">
        <v>2002</v>
      </c>
      <c r="I20" s="1">
        <v>13932</v>
      </c>
      <c r="J20" s="1">
        <v>15480</v>
      </c>
      <c r="K20" s="1">
        <v>13932</v>
      </c>
    </row>
    <row r="21" spans="1:11" x14ac:dyDescent="0.35">
      <c r="A21">
        <v>324666</v>
      </c>
      <c r="B21">
        <v>869009</v>
      </c>
      <c r="C21" t="str">
        <f>"APPLEGATE ADVENTIST ACADEMY"</f>
        <v>APPLEGATE ADVENTIST ACADEMY</v>
      </c>
      <c r="D21" t="s">
        <v>11</v>
      </c>
      <c r="E21" t="s">
        <v>41</v>
      </c>
      <c r="F21" t="s">
        <v>42</v>
      </c>
      <c r="G21">
        <v>78680</v>
      </c>
      <c r="H21">
        <v>2002</v>
      </c>
      <c r="I21" s="1">
        <v>0</v>
      </c>
      <c r="J21" s="1">
        <v>0</v>
      </c>
    </row>
    <row r="22" spans="1:11" x14ac:dyDescent="0.35">
      <c r="A22">
        <v>309968</v>
      </c>
      <c r="B22">
        <v>806742</v>
      </c>
      <c r="C22" t="str">
        <f>"ARGYLE INDEP SCHOOL DISTRICT"</f>
        <v>ARGYLE INDEP SCHOOL DISTRICT</v>
      </c>
      <c r="D22" t="s">
        <v>11</v>
      </c>
      <c r="E22" t="s">
        <v>43</v>
      </c>
      <c r="F22" t="s">
        <v>44</v>
      </c>
      <c r="G22">
        <v>76226</v>
      </c>
      <c r="H22">
        <v>2002</v>
      </c>
      <c r="I22" s="1">
        <v>2400</v>
      </c>
      <c r="J22" s="1">
        <v>6000</v>
      </c>
      <c r="K22" s="1">
        <v>0</v>
      </c>
    </row>
    <row r="23" spans="1:11" x14ac:dyDescent="0.35">
      <c r="A23">
        <v>316038</v>
      </c>
      <c r="B23">
        <v>832244</v>
      </c>
      <c r="C23" t="str">
        <f>"ASCENSION ACADEMY"</f>
        <v>ASCENSION ACADEMY</v>
      </c>
      <c r="D23" t="s">
        <v>11</v>
      </c>
      <c r="E23" t="s">
        <v>45</v>
      </c>
      <c r="F23" t="s">
        <v>46</v>
      </c>
      <c r="G23">
        <v>79110</v>
      </c>
      <c r="H23">
        <v>2002</v>
      </c>
      <c r="I23" s="1">
        <v>600</v>
      </c>
      <c r="J23" s="1">
        <v>1500</v>
      </c>
    </row>
    <row r="24" spans="1:11" x14ac:dyDescent="0.35">
      <c r="A24">
        <v>306354</v>
      </c>
      <c r="B24">
        <v>801077</v>
      </c>
      <c r="C24" t="str">
        <f>"AUDRE &amp; BERNARD RAPOPORT ACADEMY"</f>
        <v>AUDRE &amp; BERNARD RAPOPORT ACADEMY</v>
      </c>
      <c r="D24" t="s">
        <v>11</v>
      </c>
      <c r="E24" t="s">
        <v>47</v>
      </c>
      <c r="F24" t="s">
        <v>48</v>
      </c>
      <c r="G24">
        <v>76704</v>
      </c>
      <c r="H24">
        <v>2002</v>
      </c>
      <c r="I24" s="1">
        <v>16200</v>
      </c>
      <c r="J24" s="1">
        <v>18000</v>
      </c>
      <c r="K24" s="1">
        <v>16200</v>
      </c>
    </row>
    <row r="25" spans="1:11" x14ac:dyDescent="0.35">
      <c r="A25">
        <v>306663</v>
      </c>
      <c r="B25">
        <v>793622</v>
      </c>
      <c r="C25" t="str">
        <f>"BANNEKER MCNAIR ACADEMY"</f>
        <v>BANNEKER MCNAIR ACADEMY</v>
      </c>
      <c r="D25" t="s">
        <v>11</v>
      </c>
      <c r="E25" t="s">
        <v>49</v>
      </c>
      <c r="F25" t="s">
        <v>13</v>
      </c>
      <c r="G25">
        <v>77021</v>
      </c>
      <c r="H25">
        <v>2002</v>
      </c>
      <c r="I25" s="1">
        <v>2348.1</v>
      </c>
      <c r="J25" s="1">
        <v>2609</v>
      </c>
    </row>
    <row r="26" spans="1:11" x14ac:dyDescent="0.35">
      <c r="A26">
        <v>299227</v>
      </c>
      <c r="B26">
        <v>773189</v>
      </c>
      <c r="C26" t="str">
        <f>"BELLAIRE MARION PREPARATORY ACADEMY"</f>
        <v>BELLAIRE MARION PREPARATORY ACADEMY</v>
      </c>
      <c r="D26" t="s">
        <v>11</v>
      </c>
      <c r="E26" t="s">
        <v>50</v>
      </c>
      <c r="F26" t="s">
        <v>13</v>
      </c>
      <c r="G26">
        <v>77081</v>
      </c>
      <c r="H26">
        <v>2002</v>
      </c>
      <c r="I26" s="1">
        <v>0</v>
      </c>
      <c r="J26" s="1">
        <v>0</v>
      </c>
    </row>
    <row r="27" spans="1:11" x14ac:dyDescent="0.35">
      <c r="A27">
        <v>323054</v>
      </c>
      <c r="B27">
        <v>861854</v>
      </c>
      <c r="C27" t="str">
        <f>"BETHEL SDA SCHOOL"</f>
        <v>BETHEL SDA SCHOOL</v>
      </c>
      <c r="D27" t="s">
        <v>11</v>
      </c>
      <c r="E27" t="s">
        <v>51</v>
      </c>
      <c r="F27" t="s">
        <v>52</v>
      </c>
      <c r="G27">
        <v>75501</v>
      </c>
      <c r="H27">
        <v>2002</v>
      </c>
      <c r="I27" s="1">
        <v>0</v>
      </c>
      <c r="J27" s="1">
        <v>0</v>
      </c>
    </row>
    <row r="28" spans="1:11" x14ac:dyDescent="0.35">
      <c r="A28">
        <v>287859</v>
      </c>
      <c r="B28">
        <v>805825</v>
      </c>
      <c r="C28" t="str">
        <f>"BISHOP DUNNE HIGH SCHOOL"</f>
        <v>BISHOP DUNNE HIGH SCHOOL</v>
      </c>
      <c r="D28" t="s">
        <v>11</v>
      </c>
      <c r="E28" t="s">
        <v>53</v>
      </c>
      <c r="F28" t="s">
        <v>21</v>
      </c>
      <c r="G28">
        <v>75224</v>
      </c>
      <c r="H28">
        <v>2002</v>
      </c>
      <c r="I28" s="1">
        <v>4799.95</v>
      </c>
      <c r="J28" s="1">
        <v>11999.88</v>
      </c>
      <c r="K28" s="1">
        <v>4107.1000000000004</v>
      </c>
    </row>
    <row r="29" spans="1:11" x14ac:dyDescent="0.35">
      <c r="A29">
        <v>315593</v>
      </c>
      <c r="B29">
        <v>830443</v>
      </c>
      <c r="C29" t="str">
        <f>"BLAIR ELEMENTARY SCHOOL"</f>
        <v>BLAIR ELEMENTARY SCHOOL</v>
      </c>
      <c r="D29" t="s">
        <v>11</v>
      </c>
      <c r="E29" t="s">
        <v>54</v>
      </c>
      <c r="F29" t="s">
        <v>21</v>
      </c>
      <c r="G29">
        <v>75217</v>
      </c>
      <c r="H29">
        <v>2002</v>
      </c>
      <c r="I29" s="1">
        <v>1080</v>
      </c>
      <c r="J29" s="1">
        <v>2400</v>
      </c>
    </row>
    <row r="30" spans="1:11" x14ac:dyDescent="0.35">
      <c r="A30">
        <v>321210</v>
      </c>
      <c r="B30">
        <v>853443</v>
      </c>
      <c r="C30" t="str">
        <f>"BLESSED SACRAMENT SCHOOL"</f>
        <v>BLESSED SACRAMENT SCHOOL</v>
      </c>
      <c r="D30" t="s">
        <v>11</v>
      </c>
      <c r="E30" t="s">
        <v>55</v>
      </c>
      <c r="F30" t="s">
        <v>56</v>
      </c>
      <c r="G30">
        <v>79904</v>
      </c>
      <c r="H30">
        <v>2002</v>
      </c>
      <c r="I30" s="1">
        <v>1296</v>
      </c>
      <c r="J30" s="1">
        <v>1440</v>
      </c>
      <c r="K30" s="1">
        <v>1296</v>
      </c>
    </row>
    <row r="31" spans="1:11" x14ac:dyDescent="0.35">
      <c r="A31">
        <v>298292</v>
      </c>
      <c r="B31">
        <v>765494</v>
      </c>
      <c r="C31" t="str">
        <f>"BLUFF DALE INDEP SCH DISTRICT"</f>
        <v>BLUFF DALE INDEP SCH DISTRICT</v>
      </c>
      <c r="D31" t="s">
        <v>11</v>
      </c>
      <c r="E31" t="s">
        <v>57</v>
      </c>
      <c r="F31" t="s">
        <v>58</v>
      </c>
      <c r="G31">
        <v>76433</v>
      </c>
      <c r="H31">
        <v>2002</v>
      </c>
      <c r="I31" s="1">
        <v>4200</v>
      </c>
      <c r="J31" s="1">
        <v>6000</v>
      </c>
      <c r="K31" s="1">
        <v>4200</v>
      </c>
    </row>
    <row r="32" spans="1:11" x14ac:dyDescent="0.35">
      <c r="A32">
        <v>315271</v>
      </c>
      <c r="B32">
        <v>828737</v>
      </c>
      <c r="C32" t="str">
        <f>"BORDEN CO INDEP SCHOOL DIST"</f>
        <v>BORDEN CO INDEP SCHOOL DIST</v>
      </c>
      <c r="D32" t="s">
        <v>11</v>
      </c>
      <c r="E32" t="s">
        <v>59</v>
      </c>
      <c r="F32" t="s">
        <v>60</v>
      </c>
      <c r="G32">
        <v>79738</v>
      </c>
      <c r="H32">
        <v>2002</v>
      </c>
      <c r="I32" s="1">
        <v>3276</v>
      </c>
      <c r="J32" s="1">
        <v>4680</v>
      </c>
    </row>
    <row r="33" spans="1:11" x14ac:dyDescent="0.35">
      <c r="A33">
        <v>315271</v>
      </c>
      <c r="B33">
        <v>828981</v>
      </c>
      <c r="C33" t="str">
        <f>"BORDEN CO INDEP SCHOOL DIST"</f>
        <v>BORDEN CO INDEP SCHOOL DIST</v>
      </c>
      <c r="D33" t="s">
        <v>11</v>
      </c>
      <c r="E33" t="s">
        <v>59</v>
      </c>
      <c r="F33" t="s">
        <v>60</v>
      </c>
      <c r="G33">
        <v>79738</v>
      </c>
      <c r="H33">
        <v>2002</v>
      </c>
      <c r="I33" s="1">
        <v>0</v>
      </c>
      <c r="J33" s="1">
        <v>0</v>
      </c>
    </row>
    <row r="34" spans="1:11" x14ac:dyDescent="0.35">
      <c r="A34">
        <v>326455</v>
      </c>
      <c r="B34">
        <v>874447</v>
      </c>
      <c r="C34" t="str">
        <f>"BRAZOS RIVER CHARTER SCHOOL"</f>
        <v>BRAZOS RIVER CHARTER SCHOOL</v>
      </c>
      <c r="D34" t="s">
        <v>11</v>
      </c>
      <c r="E34" t="s">
        <v>61</v>
      </c>
      <c r="F34" t="s">
        <v>62</v>
      </c>
      <c r="G34">
        <v>76070</v>
      </c>
      <c r="H34">
        <v>2002</v>
      </c>
      <c r="I34" s="1">
        <v>7680</v>
      </c>
      <c r="J34" s="1">
        <v>9600</v>
      </c>
    </row>
    <row r="35" spans="1:11" x14ac:dyDescent="0.35">
      <c r="A35">
        <v>289843</v>
      </c>
      <c r="B35">
        <v>740685</v>
      </c>
      <c r="C35" t="str">
        <f>"BRIGHT IDEAS SCHOOL"</f>
        <v>BRIGHT IDEAS SCHOOL</v>
      </c>
      <c r="D35" t="s">
        <v>11</v>
      </c>
      <c r="E35" t="s">
        <v>63</v>
      </c>
      <c r="F35" t="s">
        <v>64</v>
      </c>
      <c r="G35">
        <v>76302</v>
      </c>
      <c r="H35">
        <v>2002</v>
      </c>
      <c r="I35" s="1">
        <v>3240</v>
      </c>
      <c r="J35" s="1">
        <v>5400</v>
      </c>
      <c r="K35" s="1">
        <v>3240</v>
      </c>
    </row>
    <row r="36" spans="1:11" x14ac:dyDescent="0.35">
      <c r="A36">
        <v>321555</v>
      </c>
      <c r="B36">
        <v>855369</v>
      </c>
      <c r="C36" t="str">
        <f>"BROOKS COUNTY INDEP SCH DIST"</f>
        <v>BROOKS COUNTY INDEP SCH DIST</v>
      </c>
      <c r="D36" t="s">
        <v>11</v>
      </c>
      <c r="E36" t="s">
        <v>65</v>
      </c>
      <c r="F36" t="s">
        <v>66</v>
      </c>
      <c r="G36">
        <v>78355</v>
      </c>
      <c r="H36">
        <v>2002</v>
      </c>
      <c r="I36" s="1">
        <v>0</v>
      </c>
      <c r="J36" s="1">
        <v>0</v>
      </c>
    </row>
    <row r="37" spans="1:11" x14ac:dyDescent="0.35">
      <c r="A37">
        <v>318263</v>
      </c>
      <c r="B37">
        <v>844929</v>
      </c>
      <c r="C37" t="str">
        <f>"BURNAHAM  WOOD CHARTER SCHOOL"</f>
        <v>BURNAHAM  WOOD CHARTER SCHOOL</v>
      </c>
      <c r="D37" t="s">
        <v>11</v>
      </c>
      <c r="E37" t="s">
        <v>67</v>
      </c>
      <c r="F37" t="s">
        <v>56</v>
      </c>
      <c r="G37">
        <v>79912</v>
      </c>
      <c r="H37">
        <v>2002</v>
      </c>
      <c r="I37" s="1">
        <v>2088</v>
      </c>
      <c r="J37" s="1">
        <v>4176</v>
      </c>
      <c r="K37" s="1">
        <v>1914</v>
      </c>
    </row>
    <row r="38" spans="1:11" x14ac:dyDescent="0.35">
      <c r="A38">
        <v>322375</v>
      </c>
      <c r="B38">
        <v>866096</v>
      </c>
      <c r="C38" t="str">
        <f>"BURNET CONS INDEP SCH DISTRICT"</f>
        <v>BURNET CONS INDEP SCH DISTRICT</v>
      </c>
      <c r="D38" t="s">
        <v>11</v>
      </c>
      <c r="E38" t="s">
        <v>68</v>
      </c>
      <c r="F38" t="s">
        <v>69</v>
      </c>
      <c r="G38">
        <v>78611</v>
      </c>
      <c r="H38">
        <v>2002</v>
      </c>
      <c r="I38" s="1">
        <v>15330.67</v>
      </c>
      <c r="J38" s="1">
        <v>22881.599999999999</v>
      </c>
    </row>
    <row r="39" spans="1:11" x14ac:dyDescent="0.35">
      <c r="A39">
        <v>292040</v>
      </c>
      <c r="B39">
        <v>746279</v>
      </c>
      <c r="C39" t="str">
        <f>"BYERS ELEMENTARY SCHOOL"</f>
        <v>BYERS ELEMENTARY SCHOOL</v>
      </c>
      <c r="D39" t="s">
        <v>11</v>
      </c>
      <c r="E39" t="s">
        <v>70</v>
      </c>
      <c r="F39" t="s">
        <v>71</v>
      </c>
      <c r="G39">
        <v>76357</v>
      </c>
      <c r="H39">
        <v>2002</v>
      </c>
      <c r="I39" s="1">
        <v>3240</v>
      </c>
      <c r="J39" s="1">
        <v>5400</v>
      </c>
      <c r="K39" s="1">
        <v>3240</v>
      </c>
    </row>
    <row r="40" spans="1:11" x14ac:dyDescent="0.35">
      <c r="A40">
        <v>305020</v>
      </c>
      <c r="B40">
        <v>789423</v>
      </c>
      <c r="C40" t="str">
        <f>"CAP HIGH SCHOOL"</f>
        <v>CAP HIGH SCHOOL</v>
      </c>
      <c r="D40" t="s">
        <v>11</v>
      </c>
      <c r="E40" t="s">
        <v>72</v>
      </c>
      <c r="F40" t="s">
        <v>73</v>
      </c>
      <c r="G40">
        <v>76882</v>
      </c>
      <c r="H40">
        <v>2002</v>
      </c>
      <c r="I40" s="1">
        <v>745.2</v>
      </c>
      <c r="J40" s="1">
        <v>828</v>
      </c>
    </row>
    <row r="41" spans="1:11" x14ac:dyDescent="0.35">
      <c r="A41">
        <v>324758</v>
      </c>
      <c r="B41">
        <v>869404</v>
      </c>
      <c r="C41" t="str">
        <f>"CAREER PLUS LEARNING ACADEMY"</f>
        <v>CAREER PLUS LEARNING ACADEMY</v>
      </c>
      <c r="D41" t="s">
        <v>11</v>
      </c>
      <c r="E41" t="s">
        <v>74</v>
      </c>
      <c r="F41" t="s">
        <v>24</v>
      </c>
      <c r="G41">
        <v>78220</v>
      </c>
      <c r="H41">
        <v>2002</v>
      </c>
      <c r="I41" s="1">
        <v>0</v>
      </c>
      <c r="J41" s="1">
        <v>0</v>
      </c>
    </row>
    <row r="42" spans="1:11" x14ac:dyDescent="0.35">
      <c r="A42">
        <v>323621</v>
      </c>
      <c r="B42">
        <v>865478</v>
      </c>
      <c r="C42" t="str">
        <f>"CARVER ACADEMY INC"</f>
        <v>CARVER ACADEMY INC</v>
      </c>
      <c r="D42" t="s">
        <v>11</v>
      </c>
      <c r="E42" t="s">
        <v>75</v>
      </c>
      <c r="F42" t="s">
        <v>24</v>
      </c>
      <c r="G42">
        <v>78202</v>
      </c>
      <c r="H42">
        <v>2002</v>
      </c>
      <c r="I42" s="1">
        <v>0</v>
      </c>
      <c r="J42" s="1">
        <v>0</v>
      </c>
    </row>
    <row r="43" spans="1:11" x14ac:dyDescent="0.35">
      <c r="A43">
        <v>323621</v>
      </c>
      <c r="B43">
        <v>865276</v>
      </c>
      <c r="C43" t="str">
        <f>"CARVER ACADEMY INC"</f>
        <v>CARVER ACADEMY INC</v>
      </c>
      <c r="D43" t="s">
        <v>11</v>
      </c>
      <c r="E43" t="s">
        <v>75</v>
      </c>
      <c r="F43" t="s">
        <v>24</v>
      </c>
      <c r="G43">
        <v>78202</v>
      </c>
      <c r="H43">
        <v>2002</v>
      </c>
      <c r="I43" s="1">
        <v>0</v>
      </c>
      <c r="J43" s="1">
        <v>0</v>
      </c>
    </row>
    <row r="44" spans="1:11" x14ac:dyDescent="0.35">
      <c r="A44">
        <v>323621</v>
      </c>
      <c r="B44">
        <v>864956</v>
      </c>
      <c r="C44" t="str">
        <f>"CARVER ACADEMY INC"</f>
        <v>CARVER ACADEMY INC</v>
      </c>
      <c r="D44" t="s">
        <v>11</v>
      </c>
      <c r="E44" t="s">
        <v>75</v>
      </c>
      <c r="F44" t="s">
        <v>24</v>
      </c>
      <c r="G44">
        <v>78202</v>
      </c>
      <c r="H44">
        <v>2002</v>
      </c>
      <c r="I44" s="1">
        <v>0</v>
      </c>
      <c r="J44" s="1">
        <v>0</v>
      </c>
    </row>
    <row r="45" spans="1:11" x14ac:dyDescent="0.35">
      <c r="A45">
        <v>323621</v>
      </c>
      <c r="B45">
        <v>864503</v>
      </c>
      <c r="C45" t="str">
        <f>"CARVER ACADEMY INC"</f>
        <v>CARVER ACADEMY INC</v>
      </c>
      <c r="D45" t="s">
        <v>11</v>
      </c>
      <c r="E45" t="s">
        <v>75</v>
      </c>
      <c r="F45" t="s">
        <v>24</v>
      </c>
      <c r="G45">
        <v>78202</v>
      </c>
      <c r="H45">
        <v>2002</v>
      </c>
      <c r="I45" s="1">
        <v>0</v>
      </c>
      <c r="J45" s="1">
        <v>0</v>
      </c>
    </row>
    <row r="46" spans="1:11" x14ac:dyDescent="0.35">
      <c r="A46">
        <v>318246</v>
      </c>
      <c r="B46">
        <v>840858</v>
      </c>
      <c r="C46" t="str">
        <f>"CEDAR  RIDGE CHARTER SCHOOL"</f>
        <v>CEDAR  RIDGE CHARTER SCHOOL</v>
      </c>
      <c r="D46" t="s">
        <v>11</v>
      </c>
      <c r="E46" t="s">
        <v>76</v>
      </c>
      <c r="F46" t="s">
        <v>77</v>
      </c>
      <c r="G46">
        <v>76853</v>
      </c>
      <c r="H46">
        <v>2002</v>
      </c>
      <c r="I46" s="1">
        <v>179.1</v>
      </c>
      <c r="J46" s="1">
        <v>199</v>
      </c>
      <c r="K46" s="1">
        <v>179.1</v>
      </c>
    </row>
    <row r="47" spans="1:11" x14ac:dyDescent="0.35">
      <c r="A47">
        <v>318246</v>
      </c>
      <c r="B47">
        <v>840954</v>
      </c>
      <c r="C47" t="str">
        <f>"CEDAR  RIDGE CHARTER SCHOOL"</f>
        <v>CEDAR  RIDGE CHARTER SCHOOL</v>
      </c>
      <c r="D47" t="s">
        <v>11</v>
      </c>
      <c r="E47" t="s">
        <v>76</v>
      </c>
      <c r="F47" t="s">
        <v>77</v>
      </c>
      <c r="G47">
        <v>76853</v>
      </c>
      <c r="H47">
        <v>2002</v>
      </c>
      <c r="I47" s="1">
        <v>6966</v>
      </c>
      <c r="J47" s="1">
        <v>7740</v>
      </c>
      <c r="K47" s="1">
        <v>6966</v>
      </c>
    </row>
    <row r="48" spans="1:11" x14ac:dyDescent="0.35">
      <c r="A48">
        <v>329078</v>
      </c>
      <c r="B48">
        <v>887345</v>
      </c>
      <c r="C48" t="str">
        <f>"CENTRAL CATHOLIC HIGH SCHOOL"</f>
        <v>CENTRAL CATHOLIC HIGH SCHOOL</v>
      </c>
      <c r="D48" t="s">
        <v>11</v>
      </c>
      <c r="E48" t="s">
        <v>78</v>
      </c>
      <c r="F48" t="s">
        <v>24</v>
      </c>
      <c r="G48">
        <v>78215</v>
      </c>
      <c r="H48">
        <v>2002</v>
      </c>
      <c r="I48" s="1">
        <v>2928</v>
      </c>
      <c r="J48" s="1">
        <v>7320</v>
      </c>
    </row>
    <row r="49" spans="1:11" x14ac:dyDescent="0.35">
      <c r="A49">
        <v>319450</v>
      </c>
      <c r="B49">
        <v>845479</v>
      </c>
      <c r="C49" t="str">
        <f>"CENTRAL CATHOLIC SCHOOL"</f>
        <v>CENTRAL CATHOLIC SCHOOL</v>
      </c>
      <c r="D49" t="s">
        <v>11</v>
      </c>
      <c r="E49" t="s">
        <v>79</v>
      </c>
      <c r="F49" t="s">
        <v>80</v>
      </c>
      <c r="G49">
        <v>78401</v>
      </c>
      <c r="H49">
        <v>2002</v>
      </c>
      <c r="I49" s="1">
        <v>0</v>
      </c>
      <c r="J49" s="1">
        <v>0</v>
      </c>
    </row>
    <row r="50" spans="1:11" x14ac:dyDescent="0.35">
      <c r="A50">
        <v>319450</v>
      </c>
      <c r="B50">
        <v>845349</v>
      </c>
      <c r="C50" t="str">
        <f>"CENTRAL CATHOLIC SCHOOL"</f>
        <v>CENTRAL CATHOLIC SCHOOL</v>
      </c>
      <c r="D50" t="s">
        <v>11</v>
      </c>
      <c r="E50" t="s">
        <v>79</v>
      </c>
      <c r="F50" t="s">
        <v>80</v>
      </c>
      <c r="G50">
        <v>78401</v>
      </c>
      <c r="H50">
        <v>2002</v>
      </c>
      <c r="I50" s="1">
        <v>0</v>
      </c>
      <c r="J50" s="1">
        <v>0</v>
      </c>
    </row>
    <row r="51" spans="1:11" x14ac:dyDescent="0.35">
      <c r="A51">
        <v>301082</v>
      </c>
      <c r="B51">
        <v>772480</v>
      </c>
      <c r="C51" t="str">
        <f>"CHILTON INDEP SCHOOL DISTRICT"</f>
        <v>CHILTON INDEP SCHOOL DISTRICT</v>
      </c>
      <c r="D51" t="s">
        <v>11</v>
      </c>
      <c r="E51" t="s">
        <v>81</v>
      </c>
      <c r="F51" t="s">
        <v>82</v>
      </c>
      <c r="G51">
        <v>76632</v>
      </c>
      <c r="H51">
        <v>2002</v>
      </c>
      <c r="I51" s="1">
        <v>4860</v>
      </c>
      <c r="J51" s="1">
        <v>5400</v>
      </c>
      <c r="K51" s="1">
        <v>4860</v>
      </c>
    </row>
    <row r="52" spans="1:11" x14ac:dyDescent="0.35">
      <c r="A52">
        <v>301082</v>
      </c>
      <c r="B52">
        <v>772711</v>
      </c>
      <c r="C52" t="str">
        <f>"CHILTON INDEP SCHOOL DISTRICT"</f>
        <v>CHILTON INDEP SCHOOL DISTRICT</v>
      </c>
      <c r="D52" t="s">
        <v>11</v>
      </c>
      <c r="E52" t="s">
        <v>81</v>
      </c>
      <c r="F52" t="s">
        <v>82</v>
      </c>
      <c r="G52">
        <v>76632</v>
      </c>
      <c r="H52">
        <v>2002</v>
      </c>
      <c r="I52" s="1">
        <v>162</v>
      </c>
      <c r="J52" s="1">
        <v>180</v>
      </c>
      <c r="K52" s="1">
        <v>162</v>
      </c>
    </row>
    <row r="53" spans="1:11" x14ac:dyDescent="0.35">
      <c r="A53">
        <v>317359</v>
      </c>
      <c r="B53">
        <v>859621</v>
      </c>
      <c r="C53" t="str">
        <f>"CHOICES ALTERNATIVE SCHOOL"</f>
        <v>CHOICES ALTERNATIVE SCHOOL</v>
      </c>
      <c r="D53" t="s">
        <v>11</v>
      </c>
      <c r="E53" t="s">
        <v>83</v>
      </c>
      <c r="F53" t="s">
        <v>84</v>
      </c>
      <c r="G53">
        <v>79345</v>
      </c>
      <c r="H53">
        <v>2002</v>
      </c>
      <c r="I53" s="1">
        <v>0</v>
      </c>
      <c r="J53" s="1">
        <v>0</v>
      </c>
    </row>
    <row r="54" spans="1:11" x14ac:dyDescent="0.35">
      <c r="A54">
        <v>299225</v>
      </c>
      <c r="B54">
        <v>770959</v>
      </c>
      <c r="C54" t="str">
        <f>"CHRISTIAN ACADEMY"</f>
        <v>CHRISTIAN ACADEMY</v>
      </c>
      <c r="D54" t="s">
        <v>11</v>
      </c>
      <c r="E54" t="s">
        <v>85</v>
      </c>
      <c r="F54" t="s">
        <v>13</v>
      </c>
      <c r="G54">
        <v>77035</v>
      </c>
      <c r="H54">
        <v>2002</v>
      </c>
      <c r="I54" s="1">
        <v>2049.6</v>
      </c>
      <c r="J54" s="1">
        <v>10248</v>
      </c>
    </row>
    <row r="55" spans="1:11" x14ac:dyDescent="0.35">
      <c r="A55">
        <v>324170</v>
      </c>
      <c r="B55">
        <v>867058</v>
      </c>
      <c r="C55" t="str">
        <f>"COASTAL BEND YOUTH CITY"</f>
        <v>COASTAL BEND YOUTH CITY</v>
      </c>
      <c r="D55" t="s">
        <v>11</v>
      </c>
      <c r="E55" t="s">
        <v>86</v>
      </c>
      <c r="F55" t="s">
        <v>87</v>
      </c>
      <c r="G55">
        <v>78351</v>
      </c>
      <c r="H55">
        <v>2002</v>
      </c>
      <c r="I55" s="1">
        <v>4500</v>
      </c>
      <c r="J55" s="1">
        <v>5000</v>
      </c>
    </row>
    <row r="56" spans="1:11" x14ac:dyDescent="0.35">
      <c r="A56">
        <v>330861</v>
      </c>
      <c r="B56">
        <v>894400</v>
      </c>
      <c r="C56" t="str">
        <f>"COOLIDGE INDEPENDENT SCHOOL DISTRICT"</f>
        <v>COOLIDGE INDEPENDENT SCHOOL DISTRICT</v>
      </c>
      <c r="D56" t="s">
        <v>11</v>
      </c>
      <c r="E56" t="s">
        <v>88</v>
      </c>
      <c r="F56" t="s">
        <v>89</v>
      </c>
      <c r="G56">
        <v>76635</v>
      </c>
      <c r="H56">
        <v>2002</v>
      </c>
      <c r="I56" s="1">
        <v>7560</v>
      </c>
      <c r="J56" s="1">
        <v>8400</v>
      </c>
      <c r="K56" s="1">
        <v>7560</v>
      </c>
    </row>
    <row r="57" spans="1:11" x14ac:dyDescent="0.35">
      <c r="A57">
        <v>330861</v>
      </c>
      <c r="B57">
        <v>894401</v>
      </c>
      <c r="C57" t="str">
        <f>"COOLIDGE INDEPENDENT SCHOOL DISTRICT"</f>
        <v>COOLIDGE INDEPENDENT SCHOOL DISTRICT</v>
      </c>
      <c r="D57" t="s">
        <v>11</v>
      </c>
      <c r="E57" t="s">
        <v>88</v>
      </c>
      <c r="F57" t="s">
        <v>89</v>
      </c>
      <c r="G57">
        <v>76635</v>
      </c>
      <c r="H57">
        <v>2002</v>
      </c>
      <c r="I57" s="1">
        <v>4730.3999999999996</v>
      </c>
      <c r="J57" s="1">
        <v>5256</v>
      </c>
      <c r="K57" s="1">
        <v>2507.1</v>
      </c>
    </row>
    <row r="58" spans="1:11" x14ac:dyDescent="0.35">
      <c r="A58">
        <v>330861</v>
      </c>
      <c r="B58">
        <v>894399</v>
      </c>
      <c r="C58" t="str">
        <f>"COOLIDGE INDEPENDENT SCHOOL DISTRICT"</f>
        <v>COOLIDGE INDEPENDENT SCHOOL DISTRICT</v>
      </c>
      <c r="D58" t="s">
        <v>11</v>
      </c>
      <c r="E58" t="s">
        <v>88</v>
      </c>
      <c r="F58" t="s">
        <v>89</v>
      </c>
      <c r="G58">
        <v>76635</v>
      </c>
      <c r="H58">
        <v>2002</v>
      </c>
      <c r="I58" s="1">
        <v>3909.6</v>
      </c>
      <c r="J58" s="1">
        <v>4344</v>
      </c>
      <c r="K58" s="1">
        <v>3909.6</v>
      </c>
    </row>
    <row r="59" spans="1:11" x14ac:dyDescent="0.35">
      <c r="A59">
        <v>294355</v>
      </c>
      <c r="B59">
        <v>753451</v>
      </c>
      <c r="C59" t="str">
        <f>"DEVEREUX TEXAS-HOUSTON"</f>
        <v>DEVEREUX TEXAS-HOUSTON</v>
      </c>
      <c r="D59" t="s">
        <v>11</v>
      </c>
      <c r="E59" t="s">
        <v>90</v>
      </c>
      <c r="F59" t="s">
        <v>91</v>
      </c>
      <c r="G59">
        <v>77573</v>
      </c>
      <c r="H59">
        <v>2002</v>
      </c>
      <c r="I59" s="1">
        <v>0</v>
      </c>
      <c r="J59" s="1">
        <v>0</v>
      </c>
    </row>
    <row r="60" spans="1:11" x14ac:dyDescent="0.35">
      <c r="A60">
        <v>294348</v>
      </c>
      <c r="B60">
        <v>753434</v>
      </c>
      <c r="C60" t="str">
        <f>"DEVEREUX TEXAS-VICTORIA"</f>
        <v>DEVEREUX TEXAS-VICTORIA</v>
      </c>
      <c r="D60" t="s">
        <v>11</v>
      </c>
      <c r="E60" t="s">
        <v>92</v>
      </c>
      <c r="F60" t="s">
        <v>93</v>
      </c>
      <c r="G60">
        <v>77905</v>
      </c>
      <c r="H60">
        <v>2002</v>
      </c>
      <c r="I60" s="1">
        <v>0</v>
      </c>
      <c r="J60" s="1">
        <v>0</v>
      </c>
    </row>
    <row r="61" spans="1:11" x14ac:dyDescent="0.35">
      <c r="A61">
        <v>304592</v>
      </c>
      <c r="B61">
        <v>860604</v>
      </c>
      <c r="C61" t="str">
        <f>"DOMINION CHARTER SCHOOL"</f>
        <v>DOMINION CHARTER SCHOOL</v>
      </c>
      <c r="D61" t="s">
        <v>11</v>
      </c>
      <c r="E61" t="s">
        <v>94</v>
      </c>
      <c r="F61" t="s">
        <v>13</v>
      </c>
      <c r="G61">
        <v>77018</v>
      </c>
      <c r="H61">
        <v>2002</v>
      </c>
      <c r="I61" s="1">
        <v>3456</v>
      </c>
      <c r="J61" s="1">
        <v>3840</v>
      </c>
      <c r="K61" s="1">
        <v>223.28</v>
      </c>
    </row>
    <row r="62" spans="1:11" x14ac:dyDescent="0.35">
      <c r="A62">
        <v>304592</v>
      </c>
      <c r="B62">
        <v>860810</v>
      </c>
      <c r="C62" t="str">
        <f>"DOMINION CHARTER SCHOOL"</f>
        <v>DOMINION CHARTER SCHOOL</v>
      </c>
      <c r="D62" t="s">
        <v>11</v>
      </c>
      <c r="E62" t="s">
        <v>94</v>
      </c>
      <c r="F62" t="s">
        <v>13</v>
      </c>
      <c r="G62">
        <v>77018</v>
      </c>
      <c r="H62">
        <v>2002</v>
      </c>
      <c r="I62" s="1">
        <v>4860</v>
      </c>
      <c r="J62" s="1">
        <v>5400</v>
      </c>
    </row>
    <row r="63" spans="1:11" x14ac:dyDescent="0.35">
      <c r="A63">
        <v>305897</v>
      </c>
      <c r="B63">
        <v>791596</v>
      </c>
      <c r="C63" t="str">
        <f>"DRAW ACADEMY"</f>
        <v>DRAW ACADEMY</v>
      </c>
      <c r="D63" t="s">
        <v>11</v>
      </c>
      <c r="E63" t="s">
        <v>95</v>
      </c>
      <c r="F63" t="s">
        <v>13</v>
      </c>
      <c r="G63">
        <v>77063</v>
      </c>
      <c r="H63">
        <v>2002</v>
      </c>
      <c r="I63" s="1">
        <v>2348.1</v>
      </c>
      <c r="J63" s="1">
        <v>2609</v>
      </c>
      <c r="K63" s="1">
        <v>337.3</v>
      </c>
    </row>
    <row r="64" spans="1:11" x14ac:dyDescent="0.35">
      <c r="A64">
        <v>299638</v>
      </c>
      <c r="B64">
        <v>868205</v>
      </c>
      <c r="C64" t="str">
        <f>"EAGLE CHARTER WACO"</f>
        <v>EAGLE CHARTER WACO</v>
      </c>
      <c r="D64" t="s">
        <v>11</v>
      </c>
      <c r="E64" t="s">
        <v>96</v>
      </c>
      <c r="F64" t="s">
        <v>48</v>
      </c>
      <c r="G64">
        <v>76707</v>
      </c>
      <c r="H64">
        <v>2002</v>
      </c>
      <c r="I64" s="1">
        <v>11448</v>
      </c>
      <c r="J64" s="1">
        <v>12720</v>
      </c>
    </row>
    <row r="65" spans="1:11" x14ac:dyDescent="0.35">
      <c r="A65">
        <v>314518</v>
      </c>
      <c r="B65">
        <v>838878</v>
      </c>
      <c r="C65" t="str">
        <f>"EAGLE-MTN SAGINAW IND SCH DIST"</f>
        <v>EAGLE-MTN SAGINAW IND SCH DIST</v>
      </c>
      <c r="D65" t="s">
        <v>11</v>
      </c>
      <c r="E65" t="s">
        <v>97</v>
      </c>
      <c r="F65" t="s">
        <v>98</v>
      </c>
      <c r="G65">
        <v>76179</v>
      </c>
      <c r="H65">
        <v>2002</v>
      </c>
      <c r="I65" s="1">
        <v>13500</v>
      </c>
      <c r="J65" s="1">
        <v>30000</v>
      </c>
      <c r="K65" s="1">
        <v>4336.8</v>
      </c>
    </row>
    <row r="66" spans="1:11" x14ac:dyDescent="0.35">
      <c r="A66">
        <v>321764</v>
      </c>
      <c r="B66">
        <v>857566</v>
      </c>
      <c r="C66" t="str">
        <f>"EDCOUCH-ELSA INDEP SCHOOL DIST"</f>
        <v>EDCOUCH-ELSA INDEP SCHOOL DIST</v>
      </c>
      <c r="D66" t="s">
        <v>11</v>
      </c>
      <c r="E66" t="s">
        <v>99</v>
      </c>
      <c r="F66" t="s">
        <v>100</v>
      </c>
      <c r="G66">
        <v>78538</v>
      </c>
      <c r="H66">
        <v>2002</v>
      </c>
      <c r="I66" s="1">
        <v>0</v>
      </c>
      <c r="J66" s="1">
        <v>0</v>
      </c>
    </row>
    <row r="67" spans="1:11" x14ac:dyDescent="0.35">
      <c r="A67">
        <v>321764</v>
      </c>
      <c r="B67">
        <v>857304</v>
      </c>
      <c r="C67" t="str">
        <f>"EDCOUCH-ELSA INDEP SCHOOL DIST"</f>
        <v>EDCOUCH-ELSA INDEP SCHOOL DIST</v>
      </c>
      <c r="D67" t="s">
        <v>11</v>
      </c>
      <c r="E67" t="s">
        <v>99</v>
      </c>
      <c r="F67" t="s">
        <v>100</v>
      </c>
      <c r="G67">
        <v>78538</v>
      </c>
      <c r="H67">
        <v>2002</v>
      </c>
      <c r="I67" s="1">
        <v>12376.8</v>
      </c>
      <c r="J67" s="1">
        <v>13752</v>
      </c>
      <c r="K67" s="1">
        <v>12376.8</v>
      </c>
    </row>
    <row r="68" spans="1:11" x14ac:dyDescent="0.35">
      <c r="A68">
        <v>321764</v>
      </c>
      <c r="B68">
        <v>856803</v>
      </c>
      <c r="C68" t="str">
        <f>"EDCOUCH-ELSA INDEP SCHOOL DIST"</f>
        <v>EDCOUCH-ELSA INDEP SCHOOL DIST</v>
      </c>
      <c r="D68" t="s">
        <v>11</v>
      </c>
      <c r="E68" t="s">
        <v>99</v>
      </c>
      <c r="F68" t="s">
        <v>100</v>
      </c>
      <c r="G68">
        <v>78538</v>
      </c>
      <c r="H68">
        <v>2002</v>
      </c>
      <c r="I68" s="1">
        <v>16632</v>
      </c>
      <c r="J68" s="1">
        <v>18480</v>
      </c>
      <c r="K68" s="1">
        <v>16632</v>
      </c>
    </row>
    <row r="69" spans="1:11" x14ac:dyDescent="0.35">
      <c r="A69">
        <v>313049</v>
      </c>
      <c r="B69">
        <v>822355</v>
      </c>
      <c r="C69" t="str">
        <f>"EDISON-MEDRANO ACADEMY"</f>
        <v>EDISON-MEDRANO ACADEMY</v>
      </c>
      <c r="D69" t="s">
        <v>11</v>
      </c>
      <c r="E69" t="s">
        <v>101</v>
      </c>
      <c r="F69" t="s">
        <v>21</v>
      </c>
      <c r="G69">
        <v>75219</v>
      </c>
      <c r="H69">
        <v>2002</v>
      </c>
      <c r="I69" s="1">
        <v>1080</v>
      </c>
      <c r="J69" s="1">
        <v>2400</v>
      </c>
    </row>
    <row r="70" spans="1:11" x14ac:dyDescent="0.35">
      <c r="A70">
        <v>315244</v>
      </c>
      <c r="B70">
        <v>839454</v>
      </c>
      <c r="C70" t="str">
        <f>"EL PASO ACADEMY EAST"</f>
        <v>EL PASO ACADEMY EAST</v>
      </c>
      <c r="D70" t="s">
        <v>11</v>
      </c>
      <c r="E70" t="s">
        <v>102</v>
      </c>
      <c r="F70" t="s">
        <v>56</v>
      </c>
      <c r="G70">
        <v>79935</v>
      </c>
      <c r="H70">
        <v>2002</v>
      </c>
      <c r="I70" s="1">
        <v>6840</v>
      </c>
      <c r="J70" s="1">
        <v>8550</v>
      </c>
      <c r="K70" s="1">
        <v>1165.31</v>
      </c>
    </row>
    <row r="71" spans="1:11" x14ac:dyDescent="0.35">
      <c r="A71">
        <v>288200</v>
      </c>
      <c r="B71">
        <v>736741</v>
      </c>
      <c r="C71" t="str">
        <f>"ELGIN INDEP SCHOOL DISTRICT"</f>
        <v>ELGIN INDEP SCHOOL DISTRICT</v>
      </c>
      <c r="D71" t="s">
        <v>11</v>
      </c>
      <c r="E71" t="s">
        <v>103</v>
      </c>
      <c r="F71" t="s">
        <v>104</v>
      </c>
      <c r="G71">
        <v>78621</v>
      </c>
      <c r="H71">
        <v>2002</v>
      </c>
      <c r="I71" s="1">
        <v>7728</v>
      </c>
      <c r="J71" s="1">
        <v>9660</v>
      </c>
      <c r="K71" s="1">
        <v>7728</v>
      </c>
    </row>
    <row r="72" spans="1:11" x14ac:dyDescent="0.35">
      <c r="A72">
        <v>316186</v>
      </c>
      <c r="B72">
        <v>832948</v>
      </c>
      <c r="C72" t="str">
        <f>"ENCINO SCHOOL"</f>
        <v>ENCINO SCHOOL</v>
      </c>
      <c r="D72" t="s">
        <v>11</v>
      </c>
      <c r="E72" t="s">
        <v>105</v>
      </c>
      <c r="F72" t="s">
        <v>106</v>
      </c>
      <c r="G72">
        <v>78353</v>
      </c>
      <c r="H72">
        <v>2002</v>
      </c>
      <c r="I72" s="1">
        <v>0</v>
      </c>
      <c r="J72" s="1">
        <v>0</v>
      </c>
    </row>
    <row r="73" spans="1:11" x14ac:dyDescent="0.35">
      <c r="A73">
        <v>308943</v>
      </c>
      <c r="B73">
        <v>803106</v>
      </c>
      <c r="C73" t="str">
        <f>"EOAC WACO CHARTER SCHOOL"</f>
        <v>EOAC WACO CHARTER SCHOOL</v>
      </c>
      <c r="D73" t="s">
        <v>11</v>
      </c>
      <c r="E73" t="s">
        <v>107</v>
      </c>
      <c r="F73" t="s">
        <v>48</v>
      </c>
      <c r="G73">
        <v>76707</v>
      </c>
      <c r="H73">
        <v>2002</v>
      </c>
      <c r="I73" s="1">
        <v>9180</v>
      </c>
      <c r="J73" s="1">
        <v>10200</v>
      </c>
      <c r="K73" s="1">
        <v>9180</v>
      </c>
    </row>
    <row r="74" spans="1:11" x14ac:dyDescent="0.35">
      <c r="A74">
        <v>323607</v>
      </c>
      <c r="B74">
        <v>864198</v>
      </c>
      <c r="C74" t="str">
        <f>"EXCEL ADVENTIS  ACADEMY"</f>
        <v>EXCEL ADVENTIS  ACADEMY</v>
      </c>
      <c r="D74" t="s">
        <v>11</v>
      </c>
      <c r="E74" t="s">
        <v>108</v>
      </c>
      <c r="F74" t="s">
        <v>109</v>
      </c>
      <c r="G74">
        <v>77489</v>
      </c>
      <c r="H74">
        <v>2002</v>
      </c>
      <c r="I74" s="1">
        <v>0</v>
      </c>
      <c r="J74" s="1">
        <v>0</v>
      </c>
    </row>
    <row r="75" spans="1:11" x14ac:dyDescent="0.35">
      <c r="A75">
        <v>303076</v>
      </c>
      <c r="B75">
        <v>821061</v>
      </c>
      <c r="C75" t="str">
        <f>"EZZELL ELEMENTARY SCHOOL"</f>
        <v>EZZELL ELEMENTARY SCHOOL</v>
      </c>
      <c r="D75" t="s">
        <v>11</v>
      </c>
      <c r="E75" t="s">
        <v>110</v>
      </c>
      <c r="F75" t="s">
        <v>111</v>
      </c>
      <c r="G75">
        <v>77964</v>
      </c>
      <c r="H75">
        <v>2002</v>
      </c>
      <c r="I75" s="1">
        <v>3240</v>
      </c>
      <c r="J75" s="1">
        <v>5400</v>
      </c>
      <c r="K75" s="1">
        <v>3240</v>
      </c>
    </row>
    <row r="76" spans="1:11" x14ac:dyDescent="0.35">
      <c r="A76">
        <v>316063</v>
      </c>
      <c r="B76">
        <v>832513</v>
      </c>
      <c r="C76" t="str">
        <f>"FAIRHILL SCHOOL"</f>
        <v>FAIRHILL SCHOOL</v>
      </c>
      <c r="D76" t="s">
        <v>11</v>
      </c>
      <c r="E76" t="s">
        <v>112</v>
      </c>
      <c r="F76" t="s">
        <v>21</v>
      </c>
      <c r="G76">
        <v>75248</v>
      </c>
      <c r="H76">
        <v>2002</v>
      </c>
      <c r="I76" s="1">
        <v>80</v>
      </c>
      <c r="J76" s="1">
        <v>400</v>
      </c>
    </row>
    <row r="77" spans="1:11" x14ac:dyDescent="0.35">
      <c r="A77">
        <v>316063</v>
      </c>
      <c r="B77">
        <v>832488</v>
      </c>
      <c r="C77" t="str">
        <f>"FAIRHILL SCHOOL"</f>
        <v>FAIRHILL SCHOOL</v>
      </c>
      <c r="D77" t="s">
        <v>11</v>
      </c>
      <c r="E77" t="s">
        <v>112</v>
      </c>
      <c r="F77" t="s">
        <v>21</v>
      </c>
      <c r="G77">
        <v>75248</v>
      </c>
      <c r="H77">
        <v>2002</v>
      </c>
      <c r="I77" s="1">
        <v>246.97</v>
      </c>
      <c r="J77" s="1">
        <v>1234.8399999999999</v>
      </c>
    </row>
    <row r="78" spans="1:11" x14ac:dyDescent="0.35">
      <c r="A78">
        <v>300505</v>
      </c>
      <c r="B78">
        <v>770730</v>
      </c>
      <c r="C78" t="str">
        <f>"FATHER YERMO ELEMENTARY SCHOOL"</f>
        <v>FATHER YERMO ELEMENTARY SCHOOL</v>
      </c>
      <c r="D78" t="s">
        <v>11</v>
      </c>
      <c r="E78" t="s">
        <v>113</v>
      </c>
      <c r="F78" t="s">
        <v>114</v>
      </c>
      <c r="G78">
        <v>79905</v>
      </c>
      <c r="H78">
        <v>2002</v>
      </c>
      <c r="I78" s="1">
        <v>0</v>
      </c>
      <c r="J78" s="1">
        <v>0</v>
      </c>
    </row>
    <row r="79" spans="1:11" x14ac:dyDescent="0.35">
      <c r="A79">
        <v>300505</v>
      </c>
      <c r="B79">
        <v>770729</v>
      </c>
      <c r="C79" t="str">
        <f>"FATHER YERMO ELEMENTARY SCHOOL"</f>
        <v>FATHER YERMO ELEMENTARY SCHOOL</v>
      </c>
      <c r="D79" t="s">
        <v>11</v>
      </c>
      <c r="E79" t="s">
        <v>113</v>
      </c>
      <c r="F79" t="s">
        <v>114</v>
      </c>
      <c r="G79">
        <v>79905</v>
      </c>
      <c r="H79">
        <v>2002</v>
      </c>
      <c r="I79" s="1">
        <v>0</v>
      </c>
      <c r="J79" s="1">
        <v>0</v>
      </c>
    </row>
    <row r="80" spans="1:11" x14ac:dyDescent="0.35">
      <c r="A80">
        <v>300505</v>
      </c>
      <c r="B80">
        <v>770728</v>
      </c>
      <c r="C80" t="str">
        <f>"FATHER YERMO ELEMENTARY SCHOOL"</f>
        <v>FATHER YERMO ELEMENTARY SCHOOL</v>
      </c>
      <c r="D80" t="s">
        <v>11</v>
      </c>
      <c r="E80" t="s">
        <v>113</v>
      </c>
      <c r="F80" t="s">
        <v>114</v>
      </c>
      <c r="G80">
        <v>79905</v>
      </c>
      <c r="H80">
        <v>2002</v>
      </c>
      <c r="I80" s="1">
        <v>0</v>
      </c>
      <c r="J80" s="1">
        <v>0</v>
      </c>
    </row>
    <row r="81" spans="1:11" x14ac:dyDescent="0.35">
      <c r="A81">
        <v>330611</v>
      </c>
      <c r="B81">
        <v>893499</v>
      </c>
      <c r="C81" t="str">
        <f>"FATHER YERMO HIGH SCHOOL"</f>
        <v>FATHER YERMO HIGH SCHOOL</v>
      </c>
      <c r="D81" t="s">
        <v>11</v>
      </c>
      <c r="E81" t="s">
        <v>115</v>
      </c>
      <c r="F81" t="s">
        <v>56</v>
      </c>
      <c r="G81">
        <v>79905</v>
      </c>
      <c r="H81">
        <v>2002</v>
      </c>
      <c r="I81" s="1">
        <v>6638.4</v>
      </c>
      <c r="J81" s="1">
        <v>8298</v>
      </c>
    </row>
    <row r="82" spans="1:11" x14ac:dyDescent="0.35">
      <c r="A82">
        <v>327149</v>
      </c>
      <c r="B82">
        <v>877115</v>
      </c>
      <c r="C82" t="str">
        <f>"FIRST BAPTIST ACADEMY"</f>
        <v>FIRST BAPTIST ACADEMY</v>
      </c>
      <c r="D82" t="s">
        <v>11</v>
      </c>
      <c r="E82" t="s">
        <v>116</v>
      </c>
      <c r="F82" t="s">
        <v>117</v>
      </c>
      <c r="G82">
        <v>78148</v>
      </c>
      <c r="H82">
        <v>2002</v>
      </c>
      <c r="I82" s="1">
        <v>1528.68</v>
      </c>
      <c r="J82" s="1">
        <v>3057.36</v>
      </c>
    </row>
    <row r="83" spans="1:11" x14ac:dyDescent="0.35">
      <c r="A83">
        <v>292080</v>
      </c>
      <c r="B83">
        <v>746386</v>
      </c>
      <c r="C83" t="str">
        <f>"FORT ELLIOT CONS IND SCH DIST"</f>
        <v>FORT ELLIOT CONS IND SCH DIST</v>
      </c>
      <c r="D83" t="s">
        <v>11</v>
      </c>
      <c r="E83" t="s">
        <v>118</v>
      </c>
      <c r="F83" t="s">
        <v>119</v>
      </c>
      <c r="G83">
        <v>79011</v>
      </c>
      <c r="H83">
        <v>2002</v>
      </c>
      <c r="I83" s="1">
        <v>1560</v>
      </c>
      <c r="J83" s="1">
        <v>2400</v>
      </c>
      <c r="K83" s="1">
        <v>1560</v>
      </c>
    </row>
    <row r="84" spans="1:11" x14ac:dyDescent="0.35">
      <c r="A84">
        <v>309250</v>
      </c>
      <c r="B84">
        <v>805208</v>
      </c>
      <c r="C84" t="str">
        <f>"GAUSE ELEMENTARY SCHOOL"</f>
        <v>GAUSE ELEMENTARY SCHOOL</v>
      </c>
      <c r="D84" t="s">
        <v>11</v>
      </c>
      <c r="E84" t="s">
        <v>120</v>
      </c>
      <c r="F84" t="s">
        <v>121</v>
      </c>
      <c r="G84">
        <v>77857</v>
      </c>
      <c r="H84">
        <v>2002</v>
      </c>
      <c r="I84" s="1">
        <v>9894.4</v>
      </c>
      <c r="J84" s="1">
        <v>12368</v>
      </c>
      <c r="K84" s="1">
        <v>4207.2</v>
      </c>
    </row>
    <row r="85" spans="1:11" x14ac:dyDescent="0.35">
      <c r="A85">
        <v>309250</v>
      </c>
      <c r="B85">
        <v>804812</v>
      </c>
      <c r="C85" t="str">
        <f>"GAUSE ELEMENTARY SCHOOL"</f>
        <v>GAUSE ELEMENTARY SCHOOL</v>
      </c>
      <c r="D85" t="s">
        <v>11</v>
      </c>
      <c r="E85" t="s">
        <v>120</v>
      </c>
      <c r="F85" t="s">
        <v>121</v>
      </c>
      <c r="G85">
        <v>77857</v>
      </c>
      <c r="H85">
        <v>2002</v>
      </c>
      <c r="I85" s="1">
        <v>8400</v>
      </c>
      <c r="J85" s="1">
        <v>10500</v>
      </c>
      <c r="K85" s="1">
        <v>8400</v>
      </c>
    </row>
    <row r="86" spans="1:11" x14ac:dyDescent="0.35">
      <c r="A86">
        <v>306633</v>
      </c>
      <c r="B86">
        <v>793346</v>
      </c>
      <c r="C86" t="str">
        <f>"GIRLS AND BOYS PREPARATORY ACADEMY"</f>
        <v>GIRLS AND BOYS PREPARATORY ACADEMY</v>
      </c>
      <c r="D86" t="s">
        <v>11</v>
      </c>
      <c r="E86" t="s">
        <v>122</v>
      </c>
      <c r="F86" t="s">
        <v>13</v>
      </c>
      <c r="G86">
        <v>77035</v>
      </c>
      <c r="H86">
        <v>2002</v>
      </c>
      <c r="I86" s="1">
        <v>2880</v>
      </c>
      <c r="J86" s="1">
        <v>3600</v>
      </c>
    </row>
    <row r="87" spans="1:11" x14ac:dyDescent="0.35">
      <c r="A87">
        <v>316369</v>
      </c>
      <c r="B87">
        <v>854571</v>
      </c>
      <c r="C87" t="str">
        <f>"GIRLS AND BOYS PREPARATORY ACADEMY"</f>
        <v>GIRLS AND BOYS PREPARATORY ACADEMY</v>
      </c>
      <c r="D87" t="s">
        <v>11</v>
      </c>
      <c r="E87" t="s">
        <v>123</v>
      </c>
      <c r="F87" t="s">
        <v>13</v>
      </c>
      <c r="G87">
        <v>77071</v>
      </c>
      <c r="H87">
        <v>2002</v>
      </c>
      <c r="I87" s="1">
        <v>4800</v>
      </c>
      <c r="J87" s="1">
        <v>6000</v>
      </c>
      <c r="K87" s="1">
        <v>4320</v>
      </c>
    </row>
    <row r="88" spans="1:11" x14ac:dyDescent="0.35">
      <c r="A88">
        <v>316369</v>
      </c>
      <c r="B88">
        <v>833910</v>
      </c>
      <c r="C88" t="str">
        <f>"GIRLS AND BOYS PREPARATORY ACADEMY"</f>
        <v>GIRLS AND BOYS PREPARATORY ACADEMY</v>
      </c>
      <c r="D88" t="s">
        <v>11</v>
      </c>
      <c r="E88" t="s">
        <v>123</v>
      </c>
      <c r="F88" t="s">
        <v>13</v>
      </c>
      <c r="G88">
        <v>77071</v>
      </c>
      <c r="H88">
        <v>2002</v>
      </c>
      <c r="I88" s="1">
        <v>2880</v>
      </c>
      <c r="J88" s="1">
        <v>3600</v>
      </c>
    </row>
    <row r="89" spans="1:11" x14ac:dyDescent="0.35">
      <c r="A89">
        <v>306633</v>
      </c>
      <c r="B89">
        <v>858506</v>
      </c>
      <c r="C89" t="str">
        <f>"GIRLS AND BOYS PREPARATORY ACADEMY"</f>
        <v>GIRLS AND BOYS PREPARATORY ACADEMY</v>
      </c>
      <c r="D89" t="s">
        <v>11</v>
      </c>
      <c r="E89" t="s">
        <v>122</v>
      </c>
      <c r="F89" t="s">
        <v>13</v>
      </c>
      <c r="G89">
        <v>77035</v>
      </c>
      <c r="H89">
        <v>2002</v>
      </c>
      <c r="I89" s="1">
        <v>4800</v>
      </c>
      <c r="J89" s="1">
        <v>6000</v>
      </c>
    </row>
    <row r="90" spans="1:11" x14ac:dyDescent="0.35">
      <c r="A90">
        <v>318260</v>
      </c>
      <c r="B90">
        <v>843072</v>
      </c>
      <c r="C90" t="str">
        <f>"GONZALES INDEP SCHOOL DISTRICT"</f>
        <v>GONZALES INDEP SCHOOL DISTRICT</v>
      </c>
      <c r="D90" t="s">
        <v>11</v>
      </c>
      <c r="E90" t="s">
        <v>124</v>
      </c>
      <c r="F90" t="s">
        <v>125</v>
      </c>
      <c r="G90">
        <v>78629</v>
      </c>
      <c r="H90">
        <v>2002</v>
      </c>
      <c r="I90" s="1">
        <v>17740.8</v>
      </c>
      <c r="J90" s="1">
        <v>23040</v>
      </c>
      <c r="K90" s="1">
        <v>17618.830000000002</v>
      </c>
    </row>
    <row r="91" spans="1:11" x14ac:dyDescent="0.35">
      <c r="A91">
        <v>320463</v>
      </c>
      <c r="B91">
        <v>853915</v>
      </c>
      <c r="C91" t="str">
        <f>"GOOSE CREEK CONS IND SCH DIST"</f>
        <v>GOOSE CREEK CONS IND SCH DIST</v>
      </c>
      <c r="D91" t="s">
        <v>11</v>
      </c>
      <c r="E91" t="s">
        <v>126</v>
      </c>
      <c r="F91" t="s">
        <v>127</v>
      </c>
      <c r="G91">
        <v>77520</v>
      </c>
      <c r="H91">
        <v>2002</v>
      </c>
      <c r="I91" s="1">
        <v>0</v>
      </c>
      <c r="J91" s="1">
        <v>0</v>
      </c>
    </row>
    <row r="92" spans="1:11" x14ac:dyDescent="0.35">
      <c r="A92">
        <v>320463</v>
      </c>
      <c r="B92">
        <v>853879</v>
      </c>
      <c r="C92" t="str">
        <f>"GOOSE CREEK CONS IND SCH DIST"</f>
        <v>GOOSE CREEK CONS IND SCH DIST</v>
      </c>
      <c r="D92" t="s">
        <v>11</v>
      </c>
      <c r="E92" t="s">
        <v>126</v>
      </c>
      <c r="F92" t="s">
        <v>127</v>
      </c>
      <c r="G92">
        <v>77520</v>
      </c>
      <c r="H92">
        <v>2002</v>
      </c>
      <c r="I92" s="1">
        <v>0</v>
      </c>
      <c r="J92" s="1">
        <v>0</v>
      </c>
    </row>
    <row r="93" spans="1:11" x14ac:dyDescent="0.35">
      <c r="A93">
        <v>303632</v>
      </c>
      <c r="B93">
        <v>782124</v>
      </c>
      <c r="C93" t="str">
        <f>"GRAPELAND INDEP SCH DISTRICT"</f>
        <v>GRAPELAND INDEP SCH DISTRICT</v>
      </c>
      <c r="D93" t="s">
        <v>11</v>
      </c>
      <c r="E93" t="s">
        <v>128</v>
      </c>
      <c r="F93" t="s">
        <v>129</v>
      </c>
      <c r="G93">
        <v>75844</v>
      </c>
      <c r="H93">
        <v>2002</v>
      </c>
      <c r="I93" s="1">
        <v>9729.9699999999993</v>
      </c>
      <c r="J93" s="1">
        <v>13899.96</v>
      </c>
    </row>
    <row r="94" spans="1:11" x14ac:dyDescent="0.35">
      <c r="A94">
        <v>286085</v>
      </c>
      <c r="B94">
        <v>733706</v>
      </c>
      <c r="C94" t="str">
        <f>"GUSTINE INDEP SCHOOL DISTRICT"</f>
        <v>GUSTINE INDEP SCHOOL DISTRICT</v>
      </c>
      <c r="D94" t="s">
        <v>11</v>
      </c>
      <c r="E94" t="s">
        <v>130</v>
      </c>
      <c r="F94" t="s">
        <v>131</v>
      </c>
      <c r="G94">
        <v>76455</v>
      </c>
      <c r="H94">
        <v>2002</v>
      </c>
      <c r="I94" s="1">
        <v>0</v>
      </c>
      <c r="J94" s="1">
        <v>0</v>
      </c>
    </row>
    <row r="95" spans="1:11" x14ac:dyDescent="0.35">
      <c r="A95">
        <v>329714</v>
      </c>
      <c r="B95">
        <v>889884</v>
      </c>
      <c r="C95" t="str">
        <f>"HARMONY SCIENCE ACADEMY"</f>
        <v>HARMONY SCIENCE ACADEMY</v>
      </c>
      <c r="D95" t="s">
        <v>11</v>
      </c>
      <c r="E95" t="s">
        <v>132</v>
      </c>
      <c r="F95" t="s">
        <v>13</v>
      </c>
      <c r="G95">
        <v>77096</v>
      </c>
      <c r="H95">
        <v>2002</v>
      </c>
      <c r="I95" s="1">
        <v>0</v>
      </c>
      <c r="J95" s="1">
        <v>14400</v>
      </c>
    </row>
    <row r="96" spans="1:11" x14ac:dyDescent="0.35">
      <c r="A96">
        <v>304217</v>
      </c>
      <c r="B96">
        <v>799137</v>
      </c>
      <c r="C96" t="str">
        <f>"HEALY MURPHY CENTER"</f>
        <v>HEALY MURPHY CENTER</v>
      </c>
      <c r="D96" t="s">
        <v>11</v>
      </c>
      <c r="E96" t="s">
        <v>133</v>
      </c>
      <c r="F96" t="s">
        <v>134</v>
      </c>
      <c r="G96">
        <v>78202</v>
      </c>
      <c r="H96">
        <v>2002</v>
      </c>
      <c r="I96" s="1">
        <v>0</v>
      </c>
      <c r="J96" s="1">
        <v>0</v>
      </c>
    </row>
    <row r="97" spans="1:11" x14ac:dyDescent="0.35">
      <c r="A97">
        <v>304217</v>
      </c>
      <c r="B97">
        <v>799136</v>
      </c>
      <c r="C97" t="str">
        <f>"HEALY MURPHY CENTER"</f>
        <v>HEALY MURPHY CENTER</v>
      </c>
      <c r="D97" t="s">
        <v>11</v>
      </c>
      <c r="E97" t="s">
        <v>133</v>
      </c>
      <c r="F97" t="s">
        <v>134</v>
      </c>
      <c r="G97">
        <v>78202</v>
      </c>
      <c r="H97">
        <v>2002</v>
      </c>
      <c r="I97" s="1">
        <v>0</v>
      </c>
      <c r="J97" s="1">
        <v>0</v>
      </c>
    </row>
    <row r="98" spans="1:11" x14ac:dyDescent="0.35">
      <c r="A98">
        <v>309364</v>
      </c>
      <c r="B98">
        <v>806018</v>
      </c>
      <c r="C98" t="str">
        <f>"HEARNE INDEP SCHOOL DISTRICT"</f>
        <v>HEARNE INDEP SCHOOL DISTRICT</v>
      </c>
      <c r="D98" t="s">
        <v>11</v>
      </c>
      <c r="E98" t="s">
        <v>135</v>
      </c>
      <c r="F98" t="s">
        <v>136</v>
      </c>
      <c r="G98">
        <v>77859</v>
      </c>
      <c r="H98">
        <v>2002</v>
      </c>
      <c r="I98" s="1">
        <v>6264</v>
      </c>
      <c r="J98" s="1">
        <v>7200</v>
      </c>
      <c r="K98" s="1">
        <v>5220</v>
      </c>
    </row>
    <row r="99" spans="1:11" x14ac:dyDescent="0.35">
      <c r="A99">
        <v>314961</v>
      </c>
      <c r="B99">
        <v>826926</v>
      </c>
      <c r="C99" t="str">
        <f>"HENDERSON ELEMENTARY SCHOOL"</f>
        <v>HENDERSON ELEMENTARY SCHOOL</v>
      </c>
      <c r="D99" t="s">
        <v>11</v>
      </c>
      <c r="E99" t="s">
        <v>137</v>
      </c>
      <c r="F99" t="s">
        <v>21</v>
      </c>
      <c r="G99">
        <v>75224</v>
      </c>
      <c r="H99">
        <v>2002</v>
      </c>
      <c r="I99" s="1">
        <v>2160</v>
      </c>
      <c r="J99" s="1">
        <v>2400</v>
      </c>
    </row>
    <row r="100" spans="1:11" x14ac:dyDescent="0.35">
      <c r="A100">
        <v>329932</v>
      </c>
      <c r="B100">
        <v>890683</v>
      </c>
      <c r="C100" t="str">
        <f>"HERITAGE ACADEMY"</f>
        <v>HERITAGE ACADEMY</v>
      </c>
      <c r="D100" t="s">
        <v>11</v>
      </c>
      <c r="E100" t="s">
        <v>138</v>
      </c>
      <c r="F100" t="s">
        <v>139</v>
      </c>
      <c r="G100">
        <v>76051</v>
      </c>
      <c r="H100">
        <v>2002</v>
      </c>
      <c r="I100" s="1">
        <v>0</v>
      </c>
      <c r="J100" s="1">
        <v>63488</v>
      </c>
    </row>
    <row r="101" spans="1:11" x14ac:dyDescent="0.35">
      <c r="A101">
        <v>299229</v>
      </c>
      <c r="B101">
        <v>769448</v>
      </c>
      <c r="C101" t="str">
        <f>"HERITAGE CHRISTIAN ACADEMY"</f>
        <v>HERITAGE CHRISTIAN ACADEMY</v>
      </c>
      <c r="D101" t="s">
        <v>11</v>
      </c>
      <c r="E101" t="s">
        <v>140</v>
      </c>
      <c r="F101" t="s">
        <v>141</v>
      </c>
      <c r="G101">
        <v>77550</v>
      </c>
      <c r="H101">
        <v>2002</v>
      </c>
      <c r="I101" s="1">
        <v>9223.2000000000007</v>
      </c>
      <c r="J101" s="1">
        <v>10248</v>
      </c>
      <c r="K101" s="1">
        <v>3072.66</v>
      </c>
    </row>
    <row r="102" spans="1:11" x14ac:dyDescent="0.35">
      <c r="A102">
        <v>326727</v>
      </c>
      <c r="B102">
        <v>875499</v>
      </c>
      <c r="C102" t="str">
        <f>"HERMLEIGH INDEPENDENT SCHOOL DISTRICT"</f>
        <v>HERMLEIGH INDEPENDENT SCHOOL DISTRICT</v>
      </c>
      <c r="D102" t="s">
        <v>11</v>
      </c>
      <c r="E102" t="s">
        <v>142</v>
      </c>
      <c r="F102" t="s">
        <v>143</v>
      </c>
      <c r="G102">
        <v>79526</v>
      </c>
      <c r="H102">
        <v>2002</v>
      </c>
      <c r="I102" s="1">
        <v>0</v>
      </c>
      <c r="J102" s="1">
        <v>0</v>
      </c>
    </row>
    <row r="103" spans="1:11" x14ac:dyDescent="0.35">
      <c r="A103">
        <v>300412</v>
      </c>
      <c r="B103">
        <v>809889</v>
      </c>
      <c r="C103" t="str">
        <f>"HIGGINS INDEP SCHOOL DISTRICT"</f>
        <v>HIGGINS INDEP SCHOOL DISTRICT</v>
      </c>
      <c r="D103" t="s">
        <v>11</v>
      </c>
      <c r="E103" t="s">
        <v>144</v>
      </c>
      <c r="F103" t="s">
        <v>145</v>
      </c>
      <c r="G103">
        <v>79046</v>
      </c>
      <c r="H103">
        <v>2002</v>
      </c>
      <c r="I103" s="1">
        <v>1920</v>
      </c>
      <c r="J103" s="1">
        <v>2400</v>
      </c>
      <c r="K103" s="1">
        <v>1920</v>
      </c>
    </row>
    <row r="104" spans="1:11" x14ac:dyDescent="0.35">
      <c r="A104">
        <v>321881</v>
      </c>
      <c r="B104">
        <v>856494</v>
      </c>
      <c r="C104" t="str">
        <f>"HIGGS, CARTER, KING  GIFTED &amp; TALENTED CHARTER ACADEMY"</f>
        <v>HIGGS, CARTER, KING  GIFTED &amp; TALENTED CHARTER ACADEMY</v>
      </c>
      <c r="D104" t="s">
        <v>11</v>
      </c>
      <c r="E104" t="s">
        <v>146</v>
      </c>
      <c r="F104" t="s">
        <v>24</v>
      </c>
      <c r="G104">
        <v>78218</v>
      </c>
      <c r="H104">
        <v>2002</v>
      </c>
      <c r="I104" s="1">
        <v>7560</v>
      </c>
      <c r="J104" s="1">
        <v>8400</v>
      </c>
    </row>
    <row r="105" spans="1:11" x14ac:dyDescent="0.35">
      <c r="A105">
        <v>327699</v>
      </c>
      <c r="B105">
        <v>880525</v>
      </c>
      <c r="C105" t="str">
        <f>"HILL SCHOOL OF FORT WORTH"</f>
        <v>HILL SCHOOL OF FORT WORTH</v>
      </c>
      <c r="D105" t="s">
        <v>11</v>
      </c>
      <c r="E105" t="s">
        <v>147</v>
      </c>
      <c r="F105" t="s">
        <v>148</v>
      </c>
      <c r="G105">
        <v>76133</v>
      </c>
      <c r="H105">
        <v>2002</v>
      </c>
      <c r="I105" s="1">
        <v>720</v>
      </c>
      <c r="J105" s="1">
        <v>1800</v>
      </c>
    </row>
    <row r="106" spans="1:11" x14ac:dyDescent="0.35">
      <c r="A106">
        <v>307414</v>
      </c>
      <c r="B106">
        <v>798780</v>
      </c>
      <c r="C106" t="str">
        <f>"HOLY CROSS JR-SR HIGH SCHOOL"</f>
        <v>HOLY CROSS JR-SR HIGH SCHOOL</v>
      </c>
      <c r="D106" t="s">
        <v>11</v>
      </c>
      <c r="E106" t="s">
        <v>149</v>
      </c>
      <c r="F106" t="s">
        <v>24</v>
      </c>
      <c r="G106">
        <v>78228</v>
      </c>
      <c r="H106">
        <v>2002</v>
      </c>
      <c r="I106" s="1">
        <v>6318</v>
      </c>
      <c r="J106" s="1">
        <v>7020</v>
      </c>
      <c r="K106" s="1">
        <v>6318</v>
      </c>
    </row>
    <row r="107" spans="1:11" x14ac:dyDescent="0.35">
      <c r="A107">
        <v>307414</v>
      </c>
      <c r="B107">
        <v>833983</v>
      </c>
      <c r="C107" t="str">
        <f>"HOLY CROSS JR-SR HIGH SCHOOL"</f>
        <v>HOLY CROSS JR-SR HIGH SCHOOL</v>
      </c>
      <c r="D107" t="s">
        <v>11</v>
      </c>
      <c r="E107" t="s">
        <v>149</v>
      </c>
      <c r="F107" t="s">
        <v>24</v>
      </c>
      <c r="G107">
        <v>78228</v>
      </c>
      <c r="H107">
        <v>2002</v>
      </c>
      <c r="I107" s="1">
        <v>4668.3</v>
      </c>
      <c r="J107" s="1">
        <v>5187</v>
      </c>
      <c r="K107" s="1">
        <v>4668.3</v>
      </c>
    </row>
    <row r="108" spans="1:11" x14ac:dyDescent="0.35">
      <c r="A108">
        <v>307414</v>
      </c>
      <c r="B108">
        <v>798857</v>
      </c>
      <c r="C108" t="str">
        <f>"HOLY CROSS JR-SR HIGH SCHOOL"</f>
        <v>HOLY CROSS JR-SR HIGH SCHOOL</v>
      </c>
      <c r="D108" t="s">
        <v>11</v>
      </c>
      <c r="E108" t="s">
        <v>149</v>
      </c>
      <c r="F108" t="s">
        <v>24</v>
      </c>
      <c r="G108">
        <v>78228</v>
      </c>
      <c r="H108">
        <v>2002</v>
      </c>
      <c r="I108" s="1">
        <v>2884.46</v>
      </c>
      <c r="J108" s="1">
        <v>3204.96</v>
      </c>
      <c r="K108" s="1">
        <v>2884.46</v>
      </c>
    </row>
    <row r="109" spans="1:11" x14ac:dyDescent="0.35">
      <c r="A109">
        <v>305622</v>
      </c>
      <c r="B109">
        <v>789463</v>
      </c>
      <c r="C109" t="str">
        <f>"HOLY ROSARY SCHOOL"</f>
        <v>HOLY ROSARY SCHOOL</v>
      </c>
      <c r="D109" t="s">
        <v>11</v>
      </c>
      <c r="E109" t="s">
        <v>150</v>
      </c>
      <c r="F109" t="s">
        <v>151</v>
      </c>
      <c r="G109">
        <v>77471</v>
      </c>
      <c r="H109">
        <v>2002</v>
      </c>
      <c r="I109" s="1">
        <v>192</v>
      </c>
      <c r="J109" s="1">
        <v>480</v>
      </c>
      <c r="K109" s="1">
        <v>192</v>
      </c>
    </row>
    <row r="110" spans="1:11" x14ac:dyDescent="0.35">
      <c r="A110">
        <v>305622</v>
      </c>
      <c r="B110">
        <v>789518</v>
      </c>
      <c r="C110" t="str">
        <f>"HOLY ROSARY SCHOOL"</f>
        <v>HOLY ROSARY SCHOOL</v>
      </c>
      <c r="D110" t="s">
        <v>11</v>
      </c>
      <c r="E110" t="s">
        <v>150</v>
      </c>
      <c r="F110" t="s">
        <v>151</v>
      </c>
      <c r="G110">
        <v>77471</v>
      </c>
      <c r="H110">
        <v>2002</v>
      </c>
      <c r="I110" s="1">
        <v>0</v>
      </c>
      <c r="J110" s="1">
        <v>0</v>
      </c>
    </row>
    <row r="111" spans="1:11" x14ac:dyDescent="0.35">
      <c r="A111">
        <v>305622</v>
      </c>
      <c r="B111">
        <v>789416</v>
      </c>
      <c r="C111" t="str">
        <f>"HOLY ROSARY SCHOOL"</f>
        <v>HOLY ROSARY SCHOOL</v>
      </c>
      <c r="D111" t="s">
        <v>11</v>
      </c>
      <c r="E111" t="s">
        <v>150</v>
      </c>
      <c r="F111" t="s">
        <v>151</v>
      </c>
      <c r="G111">
        <v>77471</v>
      </c>
      <c r="H111">
        <v>2002</v>
      </c>
      <c r="I111" s="1">
        <v>488.4</v>
      </c>
      <c r="J111" s="1">
        <v>1221</v>
      </c>
      <c r="K111" s="1">
        <v>488.4</v>
      </c>
    </row>
    <row r="112" spans="1:11" x14ac:dyDescent="0.35">
      <c r="A112">
        <v>319483</v>
      </c>
      <c r="B112">
        <v>845630</v>
      </c>
      <c r="C112" t="str">
        <f>"HOUSTON DROP- BACK IN ACADEMY-CENTRAL"</f>
        <v>HOUSTON DROP- BACK IN ACADEMY-CENTRAL</v>
      </c>
      <c r="D112" t="s">
        <v>11</v>
      </c>
      <c r="E112" t="s">
        <v>152</v>
      </c>
      <c r="F112" t="s">
        <v>13</v>
      </c>
      <c r="G112">
        <v>77020</v>
      </c>
      <c r="H112">
        <v>2002</v>
      </c>
      <c r="I112" s="1">
        <v>0</v>
      </c>
      <c r="J112" s="1">
        <v>0</v>
      </c>
    </row>
    <row r="113" spans="1:11" x14ac:dyDescent="0.35">
      <c r="A113">
        <v>306711</v>
      </c>
      <c r="B113">
        <v>793746</v>
      </c>
      <c r="C113" t="str">
        <f>"HOUSTON HEIGHTS LEARNING ACADEMY"</f>
        <v>HOUSTON HEIGHTS LEARNING ACADEMY</v>
      </c>
      <c r="D113" t="s">
        <v>11</v>
      </c>
      <c r="E113" t="s">
        <v>153</v>
      </c>
      <c r="F113" t="s">
        <v>13</v>
      </c>
      <c r="G113">
        <v>77007</v>
      </c>
      <c r="H113">
        <v>2002</v>
      </c>
      <c r="I113" s="1">
        <v>2393.1</v>
      </c>
      <c r="J113" s="1">
        <v>2659</v>
      </c>
    </row>
    <row r="114" spans="1:11" x14ac:dyDescent="0.35">
      <c r="A114">
        <v>325012</v>
      </c>
      <c r="B114">
        <v>870777</v>
      </c>
      <c r="C114" t="str">
        <f>"HOWE INDEP SCHOOL DISTRICT"</f>
        <v>HOWE INDEP SCHOOL DISTRICT</v>
      </c>
      <c r="D114" t="s">
        <v>11</v>
      </c>
      <c r="E114" t="s">
        <v>154</v>
      </c>
      <c r="F114" t="s">
        <v>155</v>
      </c>
      <c r="G114">
        <v>75459</v>
      </c>
      <c r="H114">
        <v>2002</v>
      </c>
      <c r="I114" s="1">
        <v>5459.52</v>
      </c>
      <c r="J114" s="1">
        <v>11616</v>
      </c>
      <c r="K114" s="1">
        <v>5459.52</v>
      </c>
    </row>
    <row r="115" spans="1:11" x14ac:dyDescent="0.35">
      <c r="A115">
        <v>331109</v>
      </c>
      <c r="B115">
        <v>895552</v>
      </c>
      <c r="C115" t="str">
        <f>"HUDSON ELEMENTARY SCHOOL"</f>
        <v>HUDSON ELEMENTARY SCHOOL</v>
      </c>
      <c r="D115" t="s">
        <v>11</v>
      </c>
      <c r="E115" t="s">
        <v>156</v>
      </c>
      <c r="F115" t="s">
        <v>157</v>
      </c>
      <c r="G115">
        <v>75904</v>
      </c>
      <c r="H115">
        <v>2002</v>
      </c>
      <c r="I115" s="1">
        <v>0</v>
      </c>
      <c r="J115" s="1">
        <v>0</v>
      </c>
    </row>
    <row r="116" spans="1:11" x14ac:dyDescent="0.35">
      <c r="A116">
        <v>307210</v>
      </c>
      <c r="B116">
        <v>796683</v>
      </c>
      <c r="C116" t="str">
        <f>"IMPACT CHARTER SCHOOL"</f>
        <v>IMPACT CHARTER SCHOOL</v>
      </c>
      <c r="D116" t="s">
        <v>11</v>
      </c>
      <c r="E116" t="s">
        <v>158</v>
      </c>
      <c r="F116" t="s">
        <v>13</v>
      </c>
      <c r="G116">
        <v>77035</v>
      </c>
      <c r="H116">
        <v>2002</v>
      </c>
      <c r="I116" s="1">
        <v>3456</v>
      </c>
      <c r="J116" s="1">
        <v>3840</v>
      </c>
    </row>
    <row r="117" spans="1:11" x14ac:dyDescent="0.35">
      <c r="A117">
        <v>307210</v>
      </c>
      <c r="B117">
        <v>860154</v>
      </c>
      <c r="C117" t="str">
        <f>"IMPACT CHARTER SCHOOL"</f>
        <v>IMPACT CHARTER SCHOOL</v>
      </c>
      <c r="D117" t="s">
        <v>11</v>
      </c>
      <c r="E117" t="s">
        <v>158</v>
      </c>
      <c r="F117" t="s">
        <v>13</v>
      </c>
      <c r="G117">
        <v>77035</v>
      </c>
      <c r="H117">
        <v>2002</v>
      </c>
      <c r="I117" s="1">
        <v>4050</v>
      </c>
      <c r="J117" s="1">
        <v>5400</v>
      </c>
    </row>
    <row r="118" spans="1:11" x14ac:dyDescent="0.35">
      <c r="A118">
        <v>326271</v>
      </c>
      <c r="B118">
        <v>873791</v>
      </c>
      <c r="C118" t="str">
        <f>"INCARNATE WORD ACADEMY"</f>
        <v>INCARNATE WORD ACADEMY</v>
      </c>
      <c r="D118" t="s">
        <v>11</v>
      </c>
      <c r="E118" t="s">
        <v>159</v>
      </c>
      <c r="F118" t="s">
        <v>160</v>
      </c>
      <c r="G118">
        <v>78520</v>
      </c>
      <c r="H118">
        <v>2002</v>
      </c>
      <c r="I118" s="1">
        <v>0</v>
      </c>
      <c r="J118" s="1">
        <v>0</v>
      </c>
    </row>
    <row r="119" spans="1:11" x14ac:dyDescent="0.35">
      <c r="A119">
        <v>329890</v>
      </c>
      <c r="B119">
        <v>890490</v>
      </c>
      <c r="C119" t="str">
        <f>"INSPIRED VISION ACADEMY"</f>
        <v>INSPIRED VISION ACADEMY</v>
      </c>
      <c r="D119" t="s">
        <v>11</v>
      </c>
      <c r="E119" t="s">
        <v>161</v>
      </c>
      <c r="F119" t="s">
        <v>21</v>
      </c>
      <c r="G119">
        <v>75217</v>
      </c>
      <c r="H119">
        <v>2002</v>
      </c>
      <c r="I119" s="1">
        <v>0</v>
      </c>
      <c r="J119" s="1">
        <v>0</v>
      </c>
    </row>
    <row r="120" spans="1:11" x14ac:dyDescent="0.35">
      <c r="A120">
        <v>321107</v>
      </c>
      <c r="B120">
        <v>852759</v>
      </c>
      <c r="C120" t="str">
        <f>"JEFFERSON ACADEMY"</f>
        <v>JEFFERSON ACADEMY</v>
      </c>
      <c r="D120" t="s">
        <v>11</v>
      </c>
      <c r="E120" t="s">
        <v>162</v>
      </c>
      <c r="F120" t="s">
        <v>163</v>
      </c>
      <c r="G120">
        <v>75657</v>
      </c>
      <c r="H120">
        <v>2002</v>
      </c>
      <c r="I120" s="1">
        <v>0</v>
      </c>
      <c r="J120" s="1">
        <v>0</v>
      </c>
    </row>
    <row r="121" spans="1:11" x14ac:dyDescent="0.35">
      <c r="A121">
        <v>311729</v>
      </c>
      <c r="B121">
        <v>852010</v>
      </c>
      <c r="C121" t="str">
        <f>"JESSE JACKSON ACADEMY"</f>
        <v>JESSE JACKSON ACADEMY</v>
      </c>
      <c r="D121" t="s">
        <v>11</v>
      </c>
      <c r="E121" t="s">
        <v>164</v>
      </c>
      <c r="F121" t="s">
        <v>13</v>
      </c>
      <c r="G121">
        <v>77701</v>
      </c>
      <c r="H121">
        <v>2002</v>
      </c>
      <c r="I121" s="1">
        <v>10620</v>
      </c>
      <c r="J121" s="1">
        <v>11800</v>
      </c>
    </row>
    <row r="122" spans="1:11" x14ac:dyDescent="0.35">
      <c r="A122">
        <v>318310</v>
      </c>
      <c r="B122">
        <v>842399</v>
      </c>
      <c r="C122" t="str">
        <f>"KIPP ACADEMY"</f>
        <v>KIPP ACADEMY</v>
      </c>
      <c r="D122" t="s">
        <v>11</v>
      </c>
      <c r="E122" t="s">
        <v>165</v>
      </c>
      <c r="F122" t="s">
        <v>13</v>
      </c>
      <c r="G122">
        <v>77099</v>
      </c>
      <c r="H122">
        <v>2002</v>
      </c>
      <c r="I122" s="1">
        <v>12387.6</v>
      </c>
      <c r="J122" s="1">
        <v>13764</v>
      </c>
    </row>
    <row r="123" spans="1:11" x14ac:dyDescent="0.35">
      <c r="A123">
        <v>318310</v>
      </c>
      <c r="B123">
        <v>842460</v>
      </c>
      <c r="C123" t="str">
        <f>"KIPP ACADEMY"</f>
        <v>KIPP ACADEMY</v>
      </c>
      <c r="D123" t="s">
        <v>11</v>
      </c>
      <c r="E123" t="s">
        <v>165</v>
      </c>
      <c r="F123" t="s">
        <v>13</v>
      </c>
      <c r="G123">
        <v>77099</v>
      </c>
      <c r="H123">
        <v>2002</v>
      </c>
      <c r="I123" s="1">
        <v>0</v>
      </c>
      <c r="J123" s="1">
        <v>0</v>
      </c>
    </row>
    <row r="124" spans="1:11" x14ac:dyDescent="0.35">
      <c r="A124">
        <v>308172</v>
      </c>
      <c r="B124">
        <v>822337</v>
      </c>
      <c r="C124" t="str">
        <f>"KIPP: AUSTIN COLLEGE PREPARATORY ACADEMY"</f>
        <v>KIPP: AUSTIN COLLEGE PREPARATORY ACADEMY</v>
      </c>
      <c r="D124" t="s">
        <v>11</v>
      </c>
      <c r="E124" t="s">
        <v>166</v>
      </c>
      <c r="F124" t="s">
        <v>167</v>
      </c>
      <c r="G124">
        <v>78745</v>
      </c>
      <c r="H124">
        <v>2002</v>
      </c>
      <c r="I124" s="1">
        <v>0</v>
      </c>
      <c r="J124" s="1">
        <v>0</v>
      </c>
    </row>
    <row r="125" spans="1:11" x14ac:dyDescent="0.35">
      <c r="A125">
        <v>308172</v>
      </c>
      <c r="B125">
        <v>822359</v>
      </c>
      <c r="C125" t="str">
        <f>"KIPP: AUSTIN COLLEGE PREPARATORY ACADEMY"</f>
        <v>KIPP: AUSTIN COLLEGE PREPARATORY ACADEMY</v>
      </c>
      <c r="D125" t="s">
        <v>11</v>
      </c>
      <c r="E125" t="s">
        <v>166</v>
      </c>
      <c r="F125" t="s">
        <v>167</v>
      </c>
      <c r="G125">
        <v>78745</v>
      </c>
      <c r="H125">
        <v>2002</v>
      </c>
      <c r="I125" s="1">
        <v>279.12</v>
      </c>
      <c r="J125" s="1">
        <v>400</v>
      </c>
      <c r="K125" s="1">
        <v>279.12</v>
      </c>
    </row>
    <row r="126" spans="1:11" x14ac:dyDescent="0.35">
      <c r="A126">
        <v>302811</v>
      </c>
      <c r="B126">
        <v>787894</v>
      </c>
      <c r="C126" t="str">
        <f>"LINGLEVILLE INDEP SCHOOL DIST"</f>
        <v>LINGLEVILLE INDEP SCHOOL DIST</v>
      </c>
      <c r="D126" t="s">
        <v>11</v>
      </c>
      <c r="E126" t="s">
        <v>168</v>
      </c>
      <c r="F126" t="s">
        <v>169</v>
      </c>
      <c r="G126">
        <v>76461</v>
      </c>
      <c r="H126">
        <v>2002</v>
      </c>
      <c r="I126" s="1">
        <v>2880</v>
      </c>
      <c r="J126" s="1">
        <v>3600</v>
      </c>
      <c r="K126" s="1">
        <v>2880</v>
      </c>
    </row>
    <row r="127" spans="1:11" x14ac:dyDescent="0.35">
      <c r="A127">
        <v>303208</v>
      </c>
      <c r="B127">
        <v>804388</v>
      </c>
      <c r="C127" t="str">
        <f>"LIVING WATER CHRISTIAN SCHOOL"</f>
        <v>LIVING WATER CHRISTIAN SCHOOL</v>
      </c>
      <c r="D127" t="s">
        <v>11</v>
      </c>
      <c r="E127" t="s">
        <v>170</v>
      </c>
      <c r="F127" t="s">
        <v>151</v>
      </c>
      <c r="G127">
        <v>77471</v>
      </c>
      <c r="H127">
        <v>2002</v>
      </c>
      <c r="I127" s="1">
        <v>133.19999999999999</v>
      </c>
      <c r="J127" s="1">
        <v>666</v>
      </c>
    </row>
    <row r="128" spans="1:11" x14ac:dyDescent="0.35">
      <c r="A128">
        <v>290291</v>
      </c>
      <c r="B128">
        <v>741640</v>
      </c>
      <c r="C128" t="str">
        <f>"LORAINE INDEP SCHOOL DISTRICT"</f>
        <v>LORAINE INDEP SCHOOL DISTRICT</v>
      </c>
      <c r="D128" t="s">
        <v>11</v>
      </c>
      <c r="E128" t="s">
        <v>171</v>
      </c>
      <c r="F128" t="s">
        <v>172</v>
      </c>
      <c r="G128">
        <v>79532</v>
      </c>
      <c r="H128">
        <v>2002</v>
      </c>
      <c r="I128" s="1">
        <v>0</v>
      </c>
      <c r="J128" s="1">
        <v>0</v>
      </c>
    </row>
    <row r="129" spans="1:11" x14ac:dyDescent="0.35">
      <c r="A129">
        <v>304257</v>
      </c>
      <c r="B129">
        <v>799524</v>
      </c>
      <c r="C129" t="str">
        <f>"LUTHERAN NORTH SCHOOL"</f>
        <v>LUTHERAN NORTH SCHOOL</v>
      </c>
      <c r="D129" t="s">
        <v>11</v>
      </c>
      <c r="E129" t="s">
        <v>173</v>
      </c>
      <c r="F129" t="s">
        <v>174</v>
      </c>
      <c r="G129">
        <v>77076</v>
      </c>
      <c r="H129">
        <v>2002</v>
      </c>
      <c r="I129" s="1">
        <v>0</v>
      </c>
      <c r="J129" s="1">
        <v>0</v>
      </c>
    </row>
    <row r="130" spans="1:11" x14ac:dyDescent="0.35">
      <c r="A130">
        <v>304164</v>
      </c>
      <c r="B130">
        <v>799467</v>
      </c>
      <c r="C130" t="str">
        <f>"LYDIA PATTERSON INSTITUTE"</f>
        <v>LYDIA PATTERSON INSTITUTE</v>
      </c>
      <c r="D130" t="s">
        <v>11</v>
      </c>
      <c r="E130" t="s">
        <v>175</v>
      </c>
      <c r="F130" t="s">
        <v>114</v>
      </c>
      <c r="G130">
        <v>79901</v>
      </c>
      <c r="H130">
        <v>2002</v>
      </c>
      <c r="I130" s="1">
        <v>0</v>
      </c>
      <c r="J130" s="1">
        <v>0</v>
      </c>
    </row>
    <row r="131" spans="1:11" x14ac:dyDescent="0.35">
      <c r="A131">
        <v>304164</v>
      </c>
      <c r="B131">
        <v>799471</v>
      </c>
      <c r="C131" t="str">
        <f>"LYDIA PATTERSON INSTITUTE"</f>
        <v>LYDIA PATTERSON INSTITUTE</v>
      </c>
      <c r="D131" t="s">
        <v>11</v>
      </c>
      <c r="E131" t="s">
        <v>175</v>
      </c>
      <c r="F131" t="s">
        <v>114</v>
      </c>
      <c r="G131">
        <v>79901</v>
      </c>
      <c r="H131">
        <v>2002</v>
      </c>
      <c r="I131" s="1">
        <v>270</v>
      </c>
      <c r="J131" s="1">
        <v>300</v>
      </c>
    </row>
    <row r="132" spans="1:11" x14ac:dyDescent="0.35">
      <c r="A132">
        <v>304164</v>
      </c>
      <c r="B132">
        <v>799468</v>
      </c>
      <c r="C132" t="str">
        <f>"LYDIA PATTERSON INSTITUTE"</f>
        <v>LYDIA PATTERSON INSTITUTE</v>
      </c>
      <c r="D132" t="s">
        <v>11</v>
      </c>
      <c r="E132" t="s">
        <v>175</v>
      </c>
      <c r="F132" t="s">
        <v>114</v>
      </c>
      <c r="G132">
        <v>79901</v>
      </c>
      <c r="H132">
        <v>2002</v>
      </c>
      <c r="I132" s="1">
        <v>0</v>
      </c>
      <c r="J132" s="1">
        <v>0</v>
      </c>
    </row>
    <row r="133" spans="1:11" x14ac:dyDescent="0.35">
      <c r="A133">
        <v>306337</v>
      </c>
      <c r="B133">
        <v>855283</v>
      </c>
      <c r="C133" t="str">
        <f>"MAINLAND PREPARATORY ACADEMY"</f>
        <v>MAINLAND PREPARATORY ACADEMY</v>
      </c>
      <c r="D133" t="s">
        <v>11</v>
      </c>
      <c r="E133" t="s">
        <v>176</v>
      </c>
      <c r="F133" t="s">
        <v>177</v>
      </c>
      <c r="G133">
        <v>77590</v>
      </c>
      <c r="H133">
        <v>2002</v>
      </c>
      <c r="I133" s="1">
        <v>3240</v>
      </c>
      <c r="J133" s="1">
        <v>5400</v>
      </c>
    </row>
    <row r="134" spans="1:11" x14ac:dyDescent="0.35">
      <c r="A134">
        <v>306337</v>
      </c>
      <c r="B134">
        <v>791819</v>
      </c>
      <c r="C134" t="str">
        <f>"MAINLAND PREPARATORY ACADEMY"</f>
        <v>MAINLAND PREPARATORY ACADEMY</v>
      </c>
      <c r="D134" t="s">
        <v>11</v>
      </c>
      <c r="E134" t="s">
        <v>176</v>
      </c>
      <c r="F134" t="s">
        <v>177</v>
      </c>
      <c r="G134">
        <v>77590</v>
      </c>
      <c r="H134">
        <v>2002</v>
      </c>
      <c r="I134" s="1">
        <v>2563.1999999999998</v>
      </c>
      <c r="J134" s="1">
        <v>4272</v>
      </c>
    </row>
    <row r="135" spans="1:11" x14ac:dyDescent="0.35">
      <c r="A135">
        <v>315927</v>
      </c>
      <c r="B135">
        <v>831972</v>
      </c>
      <c r="C135" t="str">
        <f>"MAPLE LAWN ELEMENTARY SCHOOL"</f>
        <v>MAPLE LAWN ELEMENTARY SCHOOL</v>
      </c>
      <c r="D135" t="s">
        <v>11</v>
      </c>
      <c r="E135" t="s">
        <v>178</v>
      </c>
      <c r="F135" t="s">
        <v>21</v>
      </c>
      <c r="G135">
        <v>75235</v>
      </c>
      <c r="H135">
        <v>2002</v>
      </c>
      <c r="I135" s="1">
        <v>2160</v>
      </c>
      <c r="J135" s="1">
        <v>2400</v>
      </c>
    </row>
    <row r="136" spans="1:11" x14ac:dyDescent="0.35">
      <c r="A136">
        <v>323415</v>
      </c>
      <c r="B136">
        <v>863337</v>
      </c>
      <c r="C136" t="str">
        <f>"MEDICAL CENTER CHARTER SCHOOL"</f>
        <v>MEDICAL CENTER CHARTER SCHOOL</v>
      </c>
      <c r="D136" t="s">
        <v>11</v>
      </c>
      <c r="E136" t="s">
        <v>179</v>
      </c>
      <c r="F136" t="s">
        <v>13</v>
      </c>
      <c r="G136">
        <v>77030</v>
      </c>
      <c r="H136">
        <v>2002</v>
      </c>
      <c r="I136" s="1">
        <v>9288</v>
      </c>
      <c r="J136" s="1">
        <v>15480</v>
      </c>
    </row>
    <row r="137" spans="1:11" x14ac:dyDescent="0.35">
      <c r="A137">
        <v>303216</v>
      </c>
      <c r="B137">
        <v>819241</v>
      </c>
      <c r="C137" t="str">
        <f>"MEYERSVILLE INDEP SCHOOL DIST"</f>
        <v>MEYERSVILLE INDEP SCHOOL DIST</v>
      </c>
      <c r="D137" t="s">
        <v>11</v>
      </c>
      <c r="E137" t="s">
        <v>180</v>
      </c>
      <c r="F137" t="s">
        <v>181</v>
      </c>
      <c r="G137">
        <v>77974</v>
      </c>
      <c r="H137">
        <v>2002</v>
      </c>
      <c r="I137" s="1">
        <v>2700</v>
      </c>
      <c r="J137" s="1">
        <v>5400</v>
      </c>
      <c r="K137" s="1">
        <v>2700</v>
      </c>
    </row>
    <row r="138" spans="1:11" x14ac:dyDescent="0.35">
      <c r="A138">
        <v>327170</v>
      </c>
      <c r="B138">
        <v>877190</v>
      </c>
      <c r="C138" t="str">
        <f>"MONTAGUE ISD"</f>
        <v>MONTAGUE ISD</v>
      </c>
      <c r="D138" t="s">
        <v>11</v>
      </c>
      <c r="E138" t="s">
        <v>182</v>
      </c>
      <c r="F138" t="s">
        <v>183</v>
      </c>
      <c r="G138">
        <v>76251</v>
      </c>
      <c r="H138">
        <v>2002</v>
      </c>
      <c r="I138" s="1">
        <v>3780</v>
      </c>
      <c r="J138" s="1">
        <v>5400</v>
      </c>
      <c r="K138" s="1">
        <v>3780</v>
      </c>
    </row>
    <row r="139" spans="1:11" x14ac:dyDescent="0.35">
      <c r="A139">
        <v>288847</v>
      </c>
      <c r="B139">
        <v>848557</v>
      </c>
      <c r="C139" t="str">
        <f>"MONTGOMERY INDEP SCHOOL DIST"</f>
        <v>MONTGOMERY INDEP SCHOOL DIST</v>
      </c>
      <c r="D139" t="s">
        <v>11</v>
      </c>
      <c r="E139" t="s">
        <v>184</v>
      </c>
      <c r="F139" t="s">
        <v>185</v>
      </c>
      <c r="G139">
        <v>77356</v>
      </c>
      <c r="H139">
        <v>2002</v>
      </c>
      <c r="I139" s="1">
        <v>4213.08</v>
      </c>
      <c r="J139" s="1">
        <v>8964</v>
      </c>
    </row>
    <row r="140" spans="1:11" x14ac:dyDescent="0.35">
      <c r="A140">
        <v>303384</v>
      </c>
      <c r="B140">
        <v>780727</v>
      </c>
      <c r="C140" t="str">
        <f>"MORAN INDEP SCHOOL DISTRICT"</f>
        <v>MORAN INDEP SCHOOL DISTRICT</v>
      </c>
      <c r="D140" t="s">
        <v>11</v>
      </c>
      <c r="E140" t="s">
        <v>186</v>
      </c>
      <c r="F140" t="s">
        <v>187</v>
      </c>
      <c r="G140">
        <v>76464</v>
      </c>
      <c r="H140">
        <v>2002</v>
      </c>
      <c r="I140" s="1">
        <v>0</v>
      </c>
      <c r="J140" s="1">
        <v>0</v>
      </c>
    </row>
    <row r="141" spans="1:11" x14ac:dyDescent="0.35">
      <c r="A141">
        <v>289596</v>
      </c>
      <c r="B141">
        <v>777321</v>
      </c>
      <c r="C141" t="str">
        <f>"MORGAN MILL ELEM &amp; JR HIGH SCH"</f>
        <v>MORGAN MILL ELEM &amp; JR HIGH SCH</v>
      </c>
      <c r="D141" t="s">
        <v>11</v>
      </c>
      <c r="E141" t="s">
        <v>188</v>
      </c>
      <c r="F141" t="s">
        <v>189</v>
      </c>
      <c r="G141">
        <v>76465</v>
      </c>
      <c r="H141">
        <v>2002</v>
      </c>
      <c r="I141" s="1">
        <v>2304</v>
      </c>
      <c r="J141" s="1">
        <v>2880</v>
      </c>
      <c r="K141" s="1">
        <v>2304</v>
      </c>
    </row>
    <row r="142" spans="1:11" x14ac:dyDescent="0.35">
      <c r="A142">
        <v>302878</v>
      </c>
      <c r="B142">
        <v>790005</v>
      </c>
      <c r="C142" t="str">
        <f>"MSGR KELLY CATHOLIC HIGH SCH"</f>
        <v>MSGR KELLY CATHOLIC HIGH SCH</v>
      </c>
      <c r="D142" t="s">
        <v>11</v>
      </c>
      <c r="E142" t="s">
        <v>190</v>
      </c>
      <c r="F142" t="s">
        <v>19</v>
      </c>
      <c r="G142">
        <v>77707</v>
      </c>
      <c r="H142">
        <v>2002</v>
      </c>
      <c r="I142" s="1">
        <v>2640</v>
      </c>
      <c r="J142" s="1">
        <v>6600</v>
      </c>
      <c r="K142" s="1">
        <v>2260</v>
      </c>
    </row>
    <row r="143" spans="1:11" x14ac:dyDescent="0.35">
      <c r="A143">
        <v>316342</v>
      </c>
      <c r="B143">
        <v>833720</v>
      </c>
      <c r="C143" t="str">
        <f>"MUHAMMAD UNIVERSITY"</f>
        <v>MUHAMMAD UNIVERSITY</v>
      </c>
      <c r="D143" t="s">
        <v>11</v>
      </c>
      <c r="E143" t="s">
        <v>191</v>
      </c>
      <c r="F143" t="s">
        <v>21</v>
      </c>
      <c r="G143">
        <v>75215</v>
      </c>
      <c r="H143">
        <v>2002</v>
      </c>
      <c r="I143" s="1">
        <v>19170</v>
      </c>
      <c r="J143" s="1">
        <v>21300</v>
      </c>
      <c r="K143" s="1">
        <v>19170</v>
      </c>
    </row>
    <row r="144" spans="1:11" x14ac:dyDescent="0.35">
      <c r="A144">
        <v>316479</v>
      </c>
      <c r="B144">
        <v>834475</v>
      </c>
      <c r="C144" t="str">
        <f>"MUHAMMAD UNIVERSITY"</f>
        <v>MUHAMMAD UNIVERSITY</v>
      </c>
      <c r="D144" t="s">
        <v>11</v>
      </c>
      <c r="E144" t="s">
        <v>192</v>
      </c>
      <c r="F144" t="s">
        <v>13</v>
      </c>
      <c r="G144">
        <v>77021</v>
      </c>
      <c r="H144">
        <v>2002</v>
      </c>
      <c r="I144" s="1">
        <v>19170</v>
      </c>
      <c r="J144" s="1">
        <v>21300</v>
      </c>
      <c r="K144" s="1">
        <v>19170</v>
      </c>
    </row>
    <row r="145" spans="1:11" x14ac:dyDescent="0.35">
      <c r="A145">
        <v>290579</v>
      </c>
      <c r="B145">
        <v>742371</v>
      </c>
      <c r="C145" t="str">
        <f>"MYRA GREEN JUNIOR HIGH SCHOOL"</f>
        <v>MYRA GREEN JUNIOR HIGH SCHOOL</v>
      </c>
      <c r="D145" t="s">
        <v>11</v>
      </c>
      <c r="E145" t="s">
        <v>193</v>
      </c>
      <c r="F145" t="s">
        <v>194</v>
      </c>
      <c r="G145">
        <v>78580</v>
      </c>
      <c r="H145">
        <v>2002</v>
      </c>
      <c r="I145" s="1">
        <v>5400</v>
      </c>
      <c r="J145" s="1">
        <v>6000</v>
      </c>
      <c r="K145" s="1">
        <v>5400</v>
      </c>
    </row>
    <row r="146" spans="1:11" x14ac:dyDescent="0.35">
      <c r="A146">
        <v>330918</v>
      </c>
      <c r="B146">
        <v>894710</v>
      </c>
      <c r="C146" t="str">
        <f>"NANCY NEY CHARTER SCHOOL"</f>
        <v>NANCY NEY CHARTER SCHOOL</v>
      </c>
      <c r="D146" t="s">
        <v>11</v>
      </c>
      <c r="E146" t="s">
        <v>195</v>
      </c>
      <c r="F146" t="s">
        <v>196</v>
      </c>
      <c r="G146">
        <v>78130</v>
      </c>
      <c r="H146">
        <v>2002</v>
      </c>
      <c r="I146" s="1">
        <v>2500</v>
      </c>
      <c r="J146" s="1">
        <v>3750</v>
      </c>
      <c r="K146" s="1">
        <v>2500</v>
      </c>
    </row>
    <row r="147" spans="1:11" x14ac:dyDescent="0.35">
      <c r="A147">
        <v>330922</v>
      </c>
      <c r="B147">
        <v>894726</v>
      </c>
      <c r="C147" t="str">
        <f>"NANCY NEY CHARTER SCHOOL"</f>
        <v>NANCY NEY CHARTER SCHOOL</v>
      </c>
      <c r="D147" t="s">
        <v>11</v>
      </c>
      <c r="E147" t="s">
        <v>195</v>
      </c>
      <c r="F147" t="s">
        <v>196</v>
      </c>
      <c r="G147">
        <v>78130</v>
      </c>
      <c r="H147">
        <v>2002</v>
      </c>
      <c r="I147" s="1">
        <v>4000</v>
      </c>
      <c r="J147" s="1">
        <v>6000</v>
      </c>
      <c r="K147" s="1">
        <v>4000</v>
      </c>
    </row>
    <row r="148" spans="1:11" x14ac:dyDescent="0.35">
      <c r="A148">
        <v>328647</v>
      </c>
      <c r="B148">
        <v>885505</v>
      </c>
      <c r="C148" t="str">
        <f>"NOTRE DAME CATHOLIC SCHOOL"</f>
        <v>NOTRE DAME CATHOLIC SCHOOL</v>
      </c>
      <c r="D148" t="s">
        <v>11</v>
      </c>
      <c r="E148" t="s">
        <v>197</v>
      </c>
      <c r="F148" t="s">
        <v>64</v>
      </c>
      <c r="G148">
        <v>76309</v>
      </c>
      <c r="H148">
        <v>2002</v>
      </c>
      <c r="I148" s="1">
        <v>2160</v>
      </c>
      <c r="J148" s="1">
        <v>5400</v>
      </c>
      <c r="K148" s="1">
        <v>2160</v>
      </c>
    </row>
    <row r="149" spans="1:11" x14ac:dyDescent="0.35">
      <c r="A149">
        <v>317868</v>
      </c>
      <c r="B149">
        <v>839656</v>
      </c>
      <c r="C149" t="str">
        <f>"NOVICE INDEP SCHOOL DISTRICT"</f>
        <v>NOVICE INDEP SCHOOL DISTRICT</v>
      </c>
      <c r="D149" t="s">
        <v>11</v>
      </c>
      <c r="E149" t="s">
        <v>198</v>
      </c>
      <c r="F149" t="s">
        <v>199</v>
      </c>
      <c r="G149">
        <v>79538</v>
      </c>
      <c r="H149">
        <v>2002</v>
      </c>
      <c r="I149" s="1">
        <v>1292</v>
      </c>
      <c r="J149" s="1">
        <v>1615</v>
      </c>
    </row>
    <row r="150" spans="1:11" x14ac:dyDescent="0.35">
      <c r="A150">
        <v>310482</v>
      </c>
      <c r="B150">
        <v>858050</v>
      </c>
      <c r="C150" t="str">
        <f>"NURSERY ELEMENTARY SCHOOL"</f>
        <v>NURSERY ELEMENTARY SCHOOL</v>
      </c>
      <c r="D150" t="s">
        <v>11</v>
      </c>
      <c r="E150" t="s">
        <v>200</v>
      </c>
      <c r="F150" t="s">
        <v>201</v>
      </c>
      <c r="G150">
        <v>77976</v>
      </c>
      <c r="H150">
        <v>2002</v>
      </c>
      <c r="I150" s="1">
        <v>4800</v>
      </c>
      <c r="J150" s="1">
        <v>9600</v>
      </c>
    </row>
    <row r="151" spans="1:11" x14ac:dyDescent="0.35">
      <c r="A151">
        <v>304958</v>
      </c>
      <c r="B151">
        <v>802010</v>
      </c>
      <c r="C151" t="str">
        <f>"OLFEN INDEP SCHOOL DISTRICT"</f>
        <v>OLFEN INDEP SCHOOL DISTRICT</v>
      </c>
      <c r="D151" t="s">
        <v>11</v>
      </c>
      <c r="E151" t="s">
        <v>202</v>
      </c>
      <c r="F151" t="s">
        <v>203</v>
      </c>
      <c r="G151">
        <v>76875</v>
      </c>
      <c r="H151">
        <v>2002</v>
      </c>
      <c r="I151" s="1">
        <v>1382.4</v>
      </c>
      <c r="J151" s="1">
        <v>1536</v>
      </c>
    </row>
    <row r="152" spans="1:11" x14ac:dyDescent="0.35">
      <c r="A152">
        <v>316139</v>
      </c>
      <c r="B152">
        <v>832859</v>
      </c>
      <c r="C152" t="str">
        <f>"ONESIMO HERNANDEZ ELEMENTARY"</f>
        <v>ONESIMO HERNANDEZ ELEMENTARY</v>
      </c>
      <c r="D152" t="s">
        <v>11</v>
      </c>
      <c r="E152" t="s">
        <v>204</v>
      </c>
      <c r="F152" t="s">
        <v>21</v>
      </c>
      <c r="G152">
        <v>75235</v>
      </c>
      <c r="H152">
        <v>2002</v>
      </c>
      <c r="I152" s="1">
        <v>2160</v>
      </c>
      <c r="J152" s="1">
        <v>2400</v>
      </c>
    </row>
    <row r="153" spans="1:11" x14ac:dyDescent="0.35">
      <c r="A153">
        <v>331012</v>
      </c>
      <c r="B153">
        <v>895191</v>
      </c>
      <c r="C153" t="str">
        <f>"OUR LADY OF PEACE CATHOLIC SCHOOL"</f>
        <v>OUR LADY OF PEACE CATHOLIC SCHOOL</v>
      </c>
      <c r="D153" t="s">
        <v>11</v>
      </c>
      <c r="E153" t="s">
        <v>205</v>
      </c>
      <c r="F153" t="s">
        <v>24</v>
      </c>
      <c r="G153">
        <v>78207</v>
      </c>
      <c r="H153">
        <v>2002</v>
      </c>
      <c r="I153" s="1">
        <v>1440</v>
      </c>
      <c r="J153" s="1">
        <v>1600</v>
      </c>
    </row>
    <row r="154" spans="1:11" x14ac:dyDescent="0.35">
      <c r="A154">
        <v>319664</v>
      </c>
      <c r="B154">
        <v>848322</v>
      </c>
      <c r="C154" t="str">
        <f>"OUR LADY OF THE GULF CATH SCH"</f>
        <v>OUR LADY OF THE GULF CATH SCH</v>
      </c>
      <c r="D154" t="s">
        <v>11</v>
      </c>
      <c r="E154" t="s">
        <v>206</v>
      </c>
      <c r="F154" t="s">
        <v>207</v>
      </c>
      <c r="G154">
        <v>77979</v>
      </c>
      <c r="H154">
        <v>2002</v>
      </c>
      <c r="I154" s="1">
        <v>443.56</v>
      </c>
      <c r="J154" s="1">
        <v>1108.9000000000001</v>
      </c>
    </row>
    <row r="155" spans="1:11" x14ac:dyDescent="0.35">
      <c r="A155">
        <v>303334</v>
      </c>
      <c r="B155">
        <v>781872</v>
      </c>
      <c r="C155" t="str">
        <f>"PAINT CREEK INDEP SCHOOL DIST"</f>
        <v>PAINT CREEK INDEP SCHOOL DIST</v>
      </c>
      <c r="D155" t="s">
        <v>11</v>
      </c>
      <c r="E155" t="s">
        <v>208</v>
      </c>
      <c r="F155" t="s">
        <v>209</v>
      </c>
      <c r="G155">
        <v>79521</v>
      </c>
      <c r="H155">
        <v>2002</v>
      </c>
      <c r="I155" s="1">
        <v>0</v>
      </c>
      <c r="J155" s="1">
        <v>0</v>
      </c>
    </row>
    <row r="156" spans="1:11" x14ac:dyDescent="0.35">
      <c r="A156">
        <v>324560</v>
      </c>
      <c r="B156">
        <v>868994</v>
      </c>
      <c r="C156" t="str">
        <f>"PAWNEE SCHOOL"</f>
        <v>PAWNEE SCHOOL</v>
      </c>
      <c r="D156" t="s">
        <v>11</v>
      </c>
      <c r="E156" t="s">
        <v>210</v>
      </c>
      <c r="F156" t="s">
        <v>211</v>
      </c>
      <c r="G156">
        <v>78145</v>
      </c>
      <c r="H156">
        <v>2002</v>
      </c>
      <c r="I156" s="1">
        <v>4287.9399999999996</v>
      </c>
      <c r="J156" s="1">
        <v>5359.92</v>
      </c>
      <c r="K156" s="1">
        <v>4284.5200000000004</v>
      </c>
    </row>
    <row r="157" spans="1:11" x14ac:dyDescent="0.35">
      <c r="A157">
        <v>316444</v>
      </c>
      <c r="B157">
        <v>834291</v>
      </c>
      <c r="C157" t="str">
        <f>"PEACE ELEM SCHOOL"</f>
        <v>PEACE ELEM SCHOOL</v>
      </c>
      <c r="D157" t="s">
        <v>11</v>
      </c>
      <c r="E157" t="s">
        <v>212</v>
      </c>
      <c r="F157" t="s">
        <v>167</v>
      </c>
      <c r="G157">
        <v>78723</v>
      </c>
      <c r="H157">
        <v>2002</v>
      </c>
      <c r="I157" s="1">
        <v>0</v>
      </c>
      <c r="J157" s="1">
        <v>0</v>
      </c>
    </row>
    <row r="158" spans="1:11" x14ac:dyDescent="0.35">
      <c r="A158">
        <v>310819</v>
      </c>
      <c r="B158">
        <v>809920</v>
      </c>
      <c r="C158" t="str">
        <f>"PENELOPE INDEP SCHOOL DISTRICT"</f>
        <v>PENELOPE INDEP SCHOOL DISTRICT</v>
      </c>
      <c r="D158" t="s">
        <v>11</v>
      </c>
      <c r="E158" t="s">
        <v>213</v>
      </c>
      <c r="F158" t="s">
        <v>214</v>
      </c>
      <c r="G158">
        <v>76676</v>
      </c>
      <c r="H158">
        <v>2002</v>
      </c>
      <c r="I158" s="1">
        <v>10631.62</v>
      </c>
      <c r="J158" s="1">
        <v>13289.52</v>
      </c>
      <c r="K158" s="1">
        <v>10631.62</v>
      </c>
    </row>
    <row r="159" spans="1:11" x14ac:dyDescent="0.35">
      <c r="A159">
        <v>319598</v>
      </c>
      <c r="B159">
        <v>846355</v>
      </c>
      <c r="C159" t="str">
        <f>"PEP HIGH SCHOOL"</f>
        <v>PEP HIGH SCHOOL</v>
      </c>
      <c r="D159" t="s">
        <v>11</v>
      </c>
      <c r="E159" t="s">
        <v>215</v>
      </c>
      <c r="F159" t="s">
        <v>216</v>
      </c>
      <c r="G159">
        <v>79353</v>
      </c>
      <c r="H159">
        <v>2002</v>
      </c>
      <c r="I159" s="1">
        <v>0</v>
      </c>
      <c r="J159" s="1">
        <v>0</v>
      </c>
    </row>
    <row r="160" spans="1:11" x14ac:dyDescent="0.35">
      <c r="A160">
        <v>331626</v>
      </c>
      <c r="B160">
        <v>902216</v>
      </c>
      <c r="C160" t="str">
        <f>"PREPARED TABLE CHARTER SCHOOL"</f>
        <v>PREPARED TABLE CHARTER SCHOOL</v>
      </c>
      <c r="D160" t="s">
        <v>11</v>
      </c>
      <c r="E160" t="s">
        <v>217</v>
      </c>
      <c r="F160" t="s">
        <v>13</v>
      </c>
      <c r="G160">
        <v>77078</v>
      </c>
      <c r="H160">
        <v>2002</v>
      </c>
      <c r="I160" s="1">
        <v>0</v>
      </c>
      <c r="J160" s="1">
        <v>63488</v>
      </c>
    </row>
    <row r="161" spans="1:11" x14ac:dyDescent="0.35">
      <c r="A161">
        <v>321341</v>
      </c>
      <c r="B161">
        <v>854616</v>
      </c>
      <c r="C161" t="str">
        <f>"PRINCE OF PEACE COMMUNITY SCH"</f>
        <v>PRINCE OF PEACE COMMUNITY SCH</v>
      </c>
      <c r="D161" t="s">
        <v>11</v>
      </c>
      <c r="E161" t="s">
        <v>218</v>
      </c>
      <c r="F161" t="s">
        <v>21</v>
      </c>
      <c r="G161">
        <v>75211</v>
      </c>
      <c r="H161">
        <v>2002</v>
      </c>
      <c r="I161" s="1">
        <v>2304</v>
      </c>
      <c r="J161" s="1">
        <v>2880</v>
      </c>
    </row>
    <row r="162" spans="1:11" x14ac:dyDescent="0.35">
      <c r="A162">
        <v>321178</v>
      </c>
      <c r="B162">
        <v>853352</v>
      </c>
      <c r="C162" t="str">
        <f>"PRO-VISION SCHOOL OF TECHNOLOGY"</f>
        <v>PRO-VISION SCHOOL OF TECHNOLOGY</v>
      </c>
      <c r="D162" t="s">
        <v>11</v>
      </c>
      <c r="E162" t="s">
        <v>219</v>
      </c>
      <c r="F162" t="s">
        <v>13</v>
      </c>
      <c r="G162">
        <v>77021</v>
      </c>
      <c r="H162">
        <v>2002</v>
      </c>
      <c r="I162" s="1">
        <v>2348.1</v>
      </c>
      <c r="J162" s="1">
        <v>2609</v>
      </c>
    </row>
    <row r="163" spans="1:11" x14ac:dyDescent="0.35">
      <c r="A163">
        <v>311119</v>
      </c>
      <c r="B163">
        <v>810268</v>
      </c>
      <c r="C163" t="str">
        <f>"RADIANCE ACADEMY OF LEARNING"</f>
        <v>RADIANCE ACADEMY OF LEARNING</v>
      </c>
      <c r="D163" t="s">
        <v>11</v>
      </c>
      <c r="E163" t="s">
        <v>220</v>
      </c>
      <c r="F163" t="s">
        <v>24</v>
      </c>
      <c r="G163">
        <v>78227</v>
      </c>
      <c r="H163">
        <v>2002</v>
      </c>
      <c r="I163" s="1">
        <v>5238</v>
      </c>
      <c r="J163" s="1">
        <v>5820</v>
      </c>
    </row>
    <row r="164" spans="1:11" x14ac:dyDescent="0.35">
      <c r="A164">
        <v>324975</v>
      </c>
      <c r="B164">
        <v>870627</v>
      </c>
      <c r="C164" t="str">
        <f>"RANCH ACADEMY AND LIFE SKILLS CENTER"</f>
        <v>RANCH ACADEMY AND LIFE SKILLS CENTER</v>
      </c>
      <c r="D164" t="s">
        <v>11</v>
      </c>
      <c r="E164" t="s">
        <v>221</v>
      </c>
      <c r="F164" t="s">
        <v>222</v>
      </c>
      <c r="G164">
        <v>75103</v>
      </c>
      <c r="H164">
        <v>2002</v>
      </c>
      <c r="I164" s="1">
        <v>9468</v>
      </c>
      <c r="J164" s="1">
        <v>11835</v>
      </c>
      <c r="K164" s="1">
        <v>9468</v>
      </c>
    </row>
    <row r="165" spans="1:11" x14ac:dyDescent="0.35">
      <c r="A165">
        <v>311099</v>
      </c>
      <c r="B165">
        <v>810231</v>
      </c>
      <c r="C165" t="str">
        <f>"RAUL YZAGUIRRE SCHOOL FOR SUCCESS"</f>
        <v>RAUL YZAGUIRRE SCHOOL FOR SUCCESS</v>
      </c>
      <c r="D165" t="s">
        <v>11</v>
      </c>
      <c r="E165" t="s">
        <v>223</v>
      </c>
      <c r="F165" t="s">
        <v>13</v>
      </c>
      <c r="G165">
        <v>77017</v>
      </c>
      <c r="H165">
        <v>2002</v>
      </c>
      <c r="I165" s="1">
        <v>0</v>
      </c>
      <c r="J165" s="1">
        <v>0</v>
      </c>
    </row>
    <row r="166" spans="1:11" x14ac:dyDescent="0.35">
      <c r="A166">
        <v>290599</v>
      </c>
      <c r="B166">
        <v>742420</v>
      </c>
      <c r="C166" t="str">
        <f>"RAYMONDVILLE HIGH SCHOOL"</f>
        <v>RAYMONDVILLE HIGH SCHOOL</v>
      </c>
      <c r="D166" t="s">
        <v>11</v>
      </c>
      <c r="E166" t="s">
        <v>224</v>
      </c>
      <c r="F166" t="s">
        <v>194</v>
      </c>
      <c r="G166">
        <v>78580</v>
      </c>
      <c r="H166">
        <v>2002</v>
      </c>
      <c r="I166" s="1">
        <v>5400</v>
      </c>
      <c r="J166" s="1">
        <v>6000</v>
      </c>
      <c r="K166" s="1">
        <v>5400</v>
      </c>
    </row>
    <row r="167" spans="1:11" x14ac:dyDescent="0.35">
      <c r="A167">
        <v>316118</v>
      </c>
      <c r="B167">
        <v>848945</v>
      </c>
      <c r="C167" t="str">
        <f>"REGENTS SCHOOL OF AUSTIN"</f>
        <v>REGENTS SCHOOL OF AUSTIN</v>
      </c>
      <c r="D167" t="s">
        <v>11</v>
      </c>
      <c r="E167" t="s">
        <v>225</v>
      </c>
      <c r="F167" t="s">
        <v>167</v>
      </c>
      <c r="G167">
        <v>78733</v>
      </c>
      <c r="H167">
        <v>2002</v>
      </c>
      <c r="I167" s="1">
        <v>348</v>
      </c>
      <c r="J167" s="1">
        <v>1740</v>
      </c>
    </row>
    <row r="168" spans="1:11" x14ac:dyDescent="0.35">
      <c r="A168">
        <v>325035</v>
      </c>
      <c r="B168">
        <v>870944</v>
      </c>
      <c r="C168" t="str">
        <f>"REICHER CATHOLIC HIGH SCHOOL"</f>
        <v>REICHER CATHOLIC HIGH SCHOOL</v>
      </c>
      <c r="D168" t="s">
        <v>11</v>
      </c>
      <c r="E168" t="s">
        <v>226</v>
      </c>
      <c r="F168" t="s">
        <v>48</v>
      </c>
      <c r="G168">
        <v>76708</v>
      </c>
      <c r="H168">
        <v>2002</v>
      </c>
      <c r="I168" s="1">
        <v>0</v>
      </c>
      <c r="J168" s="1">
        <v>0</v>
      </c>
    </row>
    <row r="169" spans="1:11" x14ac:dyDescent="0.35">
      <c r="A169">
        <v>304233</v>
      </c>
      <c r="B169">
        <v>824198</v>
      </c>
      <c r="C169" t="str">
        <f>"RESURRECTION SCHOOL"</f>
        <v>RESURRECTION SCHOOL</v>
      </c>
      <c r="D169" t="s">
        <v>11</v>
      </c>
      <c r="E169" t="s">
        <v>227</v>
      </c>
      <c r="F169" t="s">
        <v>174</v>
      </c>
      <c r="G169">
        <v>77020</v>
      </c>
      <c r="H169">
        <v>2002</v>
      </c>
      <c r="I169" s="1">
        <v>0</v>
      </c>
      <c r="J169" s="1">
        <v>0</v>
      </c>
    </row>
    <row r="170" spans="1:11" x14ac:dyDescent="0.35">
      <c r="A170">
        <v>304233</v>
      </c>
      <c r="B170">
        <v>824200</v>
      </c>
      <c r="C170" t="str">
        <f>"RESURRECTION SCHOOL"</f>
        <v>RESURRECTION SCHOOL</v>
      </c>
      <c r="D170" t="s">
        <v>11</v>
      </c>
      <c r="E170" t="s">
        <v>227</v>
      </c>
      <c r="F170" t="s">
        <v>174</v>
      </c>
      <c r="G170">
        <v>77020</v>
      </c>
      <c r="H170">
        <v>2002</v>
      </c>
      <c r="I170" s="1">
        <v>0</v>
      </c>
      <c r="J170" s="1">
        <v>0</v>
      </c>
    </row>
    <row r="171" spans="1:11" x14ac:dyDescent="0.35">
      <c r="A171">
        <v>315040</v>
      </c>
      <c r="B171">
        <v>827026</v>
      </c>
      <c r="C171" t="str">
        <f>"RICARDO INDEP SCHOOL DISTRICT"</f>
        <v>RICARDO INDEP SCHOOL DISTRICT</v>
      </c>
      <c r="D171" t="s">
        <v>11</v>
      </c>
      <c r="E171" t="s">
        <v>228</v>
      </c>
      <c r="F171" t="s">
        <v>229</v>
      </c>
      <c r="G171">
        <v>78363</v>
      </c>
      <c r="H171">
        <v>2002</v>
      </c>
      <c r="I171" s="1">
        <v>4435.2</v>
      </c>
      <c r="J171" s="1">
        <v>5544</v>
      </c>
      <c r="K171" s="1">
        <v>4435.2</v>
      </c>
    </row>
    <row r="172" spans="1:11" x14ac:dyDescent="0.35">
      <c r="A172">
        <v>324354</v>
      </c>
      <c r="B172">
        <v>867638</v>
      </c>
      <c r="C172" t="str">
        <f>"RICHARD MILBURN ACADEMY - BEAUMONT"</f>
        <v>RICHARD MILBURN ACADEMY - BEAUMONT</v>
      </c>
      <c r="D172" t="s">
        <v>11</v>
      </c>
      <c r="E172" t="s">
        <v>230</v>
      </c>
      <c r="F172" t="s">
        <v>19</v>
      </c>
      <c r="G172">
        <v>77701</v>
      </c>
      <c r="H172">
        <v>2002</v>
      </c>
      <c r="I172" s="1">
        <v>117.46</v>
      </c>
      <c r="J172" s="1">
        <v>587.28</v>
      </c>
      <c r="K172" s="1">
        <v>117.46</v>
      </c>
    </row>
    <row r="173" spans="1:11" x14ac:dyDescent="0.35">
      <c r="A173">
        <v>322616</v>
      </c>
      <c r="B173">
        <v>860098</v>
      </c>
      <c r="C173" t="str">
        <f>"RIESEL INDEP SCHOOL DISTRICT"</f>
        <v>RIESEL INDEP SCHOOL DISTRICT</v>
      </c>
      <c r="D173" t="s">
        <v>11</v>
      </c>
      <c r="E173" t="s">
        <v>231</v>
      </c>
      <c r="F173" t="s">
        <v>232</v>
      </c>
      <c r="G173">
        <v>76682</v>
      </c>
      <c r="H173">
        <v>2002</v>
      </c>
      <c r="I173" s="1">
        <v>6750</v>
      </c>
      <c r="J173" s="1">
        <v>13500</v>
      </c>
      <c r="K173" s="1">
        <v>5370</v>
      </c>
    </row>
    <row r="174" spans="1:11" x14ac:dyDescent="0.35">
      <c r="A174">
        <v>313626</v>
      </c>
      <c r="B174">
        <v>820981</v>
      </c>
      <c r="C174" t="str">
        <f>"ROCHESTER SCHOOL"</f>
        <v>ROCHESTER SCHOOL</v>
      </c>
      <c r="D174" t="s">
        <v>11</v>
      </c>
      <c r="E174" t="s">
        <v>233</v>
      </c>
      <c r="F174" t="s">
        <v>234</v>
      </c>
      <c r="G174">
        <v>79544</v>
      </c>
      <c r="H174">
        <v>2002</v>
      </c>
      <c r="I174" s="1">
        <v>12273.6</v>
      </c>
      <c r="J174" s="1">
        <v>15342</v>
      </c>
    </row>
    <row r="175" spans="1:11" x14ac:dyDescent="0.35">
      <c r="A175">
        <v>326473</v>
      </c>
      <c r="B175">
        <v>874557</v>
      </c>
      <c r="C175" t="str">
        <f>"ROSAS SCHOOL"</f>
        <v>ROSAS SCHOOL</v>
      </c>
      <c r="D175" t="s">
        <v>11</v>
      </c>
      <c r="E175" t="s">
        <v>235</v>
      </c>
      <c r="F175" t="s">
        <v>13</v>
      </c>
      <c r="G175">
        <v>77088</v>
      </c>
      <c r="H175">
        <v>2002</v>
      </c>
      <c r="I175" s="1">
        <v>0</v>
      </c>
      <c r="J175" s="1">
        <v>0</v>
      </c>
    </row>
    <row r="176" spans="1:11" x14ac:dyDescent="0.35">
      <c r="A176">
        <v>326473</v>
      </c>
      <c r="B176">
        <v>874556</v>
      </c>
      <c r="C176" t="str">
        <f>"ROSAS SCHOOL"</f>
        <v>ROSAS SCHOOL</v>
      </c>
      <c r="D176" t="s">
        <v>11</v>
      </c>
      <c r="E176" t="s">
        <v>235</v>
      </c>
      <c r="F176" t="s">
        <v>13</v>
      </c>
      <c r="G176">
        <v>77088</v>
      </c>
      <c r="H176">
        <v>2002</v>
      </c>
      <c r="I176" s="1">
        <v>0</v>
      </c>
      <c r="J176" s="1">
        <v>0</v>
      </c>
    </row>
    <row r="177" spans="1:11" x14ac:dyDescent="0.35">
      <c r="A177">
        <v>316059</v>
      </c>
      <c r="B177">
        <v>832373</v>
      </c>
      <c r="C177" t="str">
        <f>"RUNYON ELEMENTARY SCHOOL"</f>
        <v>RUNYON ELEMENTARY SCHOOL</v>
      </c>
      <c r="D177" t="s">
        <v>11</v>
      </c>
      <c r="E177" t="s">
        <v>236</v>
      </c>
      <c r="F177" t="s">
        <v>21</v>
      </c>
      <c r="G177">
        <v>75217</v>
      </c>
      <c r="H177">
        <v>2002</v>
      </c>
      <c r="I177" s="1">
        <v>1080</v>
      </c>
      <c r="J177" s="1">
        <v>2400</v>
      </c>
    </row>
    <row r="178" spans="1:11" x14ac:dyDescent="0.35">
      <c r="A178">
        <v>304194</v>
      </c>
      <c r="B178">
        <v>843579</v>
      </c>
      <c r="C178" t="str">
        <f>"SACRED HEART ELEMENTARY SCHOOL"</f>
        <v>SACRED HEART ELEMENTARY SCHOOL</v>
      </c>
      <c r="D178" t="s">
        <v>11</v>
      </c>
      <c r="E178" t="s">
        <v>237</v>
      </c>
      <c r="F178" t="s">
        <v>238</v>
      </c>
      <c r="G178">
        <v>78840</v>
      </c>
      <c r="H178">
        <v>2002</v>
      </c>
      <c r="I178" s="1">
        <v>0</v>
      </c>
      <c r="J178" s="1">
        <v>0</v>
      </c>
    </row>
    <row r="179" spans="1:11" x14ac:dyDescent="0.35">
      <c r="A179">
        <v>304194</v>
      </c>
      <c r="B179">
        <v>843576</v>
      </c>
      <c r="C179" t="str">
        <f>"SACRED HEART ELEMENTARY SCHOOL"</f>
        <v>SACRED HEART ELEMENTARY SCHOOL</v>
      </c>
      <c r="D179" t="s">
        <v>11</v>
      </c>
      <c r="E179" t="s">
        <v>237</v>
      </c>
      <c r="F179" t="s">
        <v>238</v>
      </c>
      <c r="G179">
        <v>78840</v>
      </c>
      <c r="H179">
        <v>2002</v>
      </c>
      <c r="I179" s="1">
        <v>0</v>
      </c>
      <c r="J179" s="1">
        <v>0</v>
      </c>
    </row>
    <row r="180" spans="1:11" x14ac:dyDescent="0.35">
      <c r="A180">
        <v>298104</v>
      </c>
      <c r="B180">
        <v>810618</v>
      </c>
      <c r="C180" t="str">
        <f>"SACRED HEART ELEMENTARY SCHOOL"</f>
        <v>SACRED HEART ELEMENTARY SCHOOL</v>
      </c>
      <c r="D180" t="s">
        <v>11</v>
      </c>
      <c r="E180" t="s">
        <v>239</v>
      </c>
      <c r="F180" t="s">
        <v>240</v>
      </c>
      <c r="G180">
        <v>78382</v>
      </c>
      <c r="H180">
        <v>2002</v>
      </c>
      <c r="I180" s="1">
        <v>1511.58</v>
      </c>
      <c r="J180" s="1">
        <v>2459.4</v>
      </c>
      <c r="K180" s="1">
        <v>1385.61</v>
      </c>
    </row>
    <row r="181" spans="1:11" x14ac:dyDescent="0.35">
      <c r="A181">
        <v>329745</v>
      </c>
      <c r="B181">
        <v>889986</v>
      </c>
      <c r="C181" t="str">
        <f>"SAINT ANDREW'S CATHOLIC SCHOOL"</f>
        <v>SAINT ANDREW'S CATHOLIC SCHOOL</v>
      </c>
      <c r="D181" t="s">
        <v>11</v>
      </c>
      <c r="E181" t="s">
        <v>241</v>
      </c>
      <c r="F181" t="s">
        <v>148</v>
      </c>
      <c r="G181">
        <v>76109</v>
      </c>
      <c r="H181">
        <v>2002</v>
      </c>
      <c r="I181" s="1">
        <v>1440</v>
      </c>
      <c r="J181" s="1">
        <v>3600</v>
      </c>
    </row>
    <row r="182" spans="1:11" x14ac:dyDescent="0.35">
      <c r="A182">
        <v>312583</v>
      </c>
      <c r="B182">
        <v>821876</v>
      </c>
      <c r="C182" t="str">
        <f>"SAN BENITO LITERACY CENTER"</f>
        <v>SAN BENITO LITERACY CENTER</v>
      </c>
      <c r="D182" t="s">
        <v>11</v>
      </c>
      <c r="E182" t="s">
        <v>242</v>
      </c>
      <c r="F182" t="s">
        <v>243</v>
      </c>
      <c r="G182">
        <v>78586</v>
      </c>
      <c r="H182">
        <v>2002</v>
      </c>
      <c r="I182" s="1">
        <v>0</v>
      </c>
      <c r="J182" s="1">
        <v>0</v>
      </c>
    </row>
    <row r="183" spans="1:11" x14ac:dyDescent="0.35">
      <c r="A183">
        <v>312583</v>
      </c>
      <c r="B183">
        <v>821934</v>
      </c>
      <c r="C183" t="str">
        <f>"SAN BENITO LITERACY CENTER"</f>
        <v>SAN BENITO LITERACY CENTER</v>
      </c>
      <c r="D183" t="s">
        <v>11</v>
      </c>
      <c r="E183" t="s">
        <v>242</v>
      </c>
      <c r="F183" t="s">
        <v>243</v>
      </c>
      <c r="G183">
        <v>78586</v>
      </c>
      <c r="H183">
        <v>2002</v>
      </c>
      <c r="I183" s="1">
        <v>0</v>
      </c>
      <c r="J183" s="1">
        <v>0</v>
      </c>
    </row>
    <row r="184" spans="1:11" x14ac:dyDescent="0.35">
      <c r="A184">
        <v>312583</v>
      </c>
      <c r="B184">
        <v>821985</v>
      </c>
      <c r="C184" t="str">
        <f>"SAN BENITO LITERACY CENTER"</f>
        <v>SAN BENITO LITERACY CENTER</v>
      </c>
      <c r="D184" t="s">
        <v>11</v>
      </c>
      <c r="E184" t="s">
        <v>242</v>
      </c>
      <c r="F184" t="s">
        <v>243</v>
      </c>
      <c r="G184">
        <v>78586</v>
      </c>
      <c r="H184">
        <v>2002</v>
      </c>
      <c r="I184" s="1">
        <v>0</v>
      </c>
      <c r="J184" s="1">
        <v>0</v>
      </c>
    </row>
    <row r="185" spans="1:11" x14ac:dyDescent="0.35">
      <c r="A185">
        <v>322663</v>
      </c>
      <c r="B185">
        <v>860066</v>
      </c>
      <c r="C185" t="str">
        <f>"SAN MARTIN DE PORRES CATHOLIC SCHOOL"</f>
        <v>SAN MARTIN DE PORRES CATHOLIC SCHOOL</v>
      </c>
      <c r="D185" t="s">
        <v>11</v>
      </c>
      <c r="E185" t="s">
        <v>244</v>
      </c>
      <c r="F185" t="s">
        <v>245</v>
      </c>
      <c r="G185">
        <v>78596</v>
      </c>
      <c r="H185">
        <v>2002</v>
      </c>
      <c r="I185" s="1">
        <v>1812.3</v>
      </c>
      <c r="J185" s="1">
        <v>3624.6</v>
      </c>
    </row>
    <row r="186" spans="1:11" x14ac:dyDescent="0.35">
      <c r="A186">
        <v>329698</v>
      </c>
      <c r="B186">
        <v>889834</v>
      </c>
      <c r="C186" t="str">
        <f>"SANFORD ISD CHAMPS ACADEMY"</f>
        <v>SANFORD ISD CHAMPS ACADEMY</v>
      </c>
      <c r="D186" t="s">
        <v>11</v>
      </c>
      <c r="E186" t="s">
        <v>246</v>
      </c>
      <c r="F186" t="s">
        <v>247</v>
      </c>
      <c r="G186">
        <v>79036</v>
      </c>
      <c r="H186">
        <v>2002</v>
      </c>
      <c r="I186" s="1">
        <v>1920</v>
      </c>
      <c r="J186" s="1">
        <v>2400</v>
      </c>
      <c r="K186" s="1">
        <v>1920</v>
      </c>
    </row>
    <row r="187" spans="1:11" x14ac:dyDescent="0.35">
      <c r="A187">
        <v>304236</v>
      </c>
      <c r="B187">
        <v>824229</v>
      </c>
      <c r="C187" t="str">
        <f>"SANTA CLARA DE ASSISI SCHOOL"</f>
        <v>SANTA CLARA DE ASSISI SCHOOL</v>
      </c>
      <c r="D187" t="s">
        <v>11</v>
      </c>
      <c r="E187" t="s">
        <v>248</v>
      </c>
      <c r="F187" t="s">
        <v>30</v>
      </c>
      <c r="G187">
        <v>75211</v>
      </c>
      <c r="H187">
        <v>2002</v>
      </c>
      <c r="I187" s="1">
        <v>0</v>
      </c>
      <c r="J187" s="1">
        <v>0</v>
      </c>
    </row>
    <row r="188" spans="1:11" x14ac:dyDescent="0.35">
      <c r="A188">
        <v>304236</v>
      </c>
      <c r="B188">
        <v>824233</v>
      </c>
      <c r="C188" t="str">
        <f>"SANTA CLARA DE ASSISI SCHOOL"</f>
        <v>SANTA CLARA DE ASSISI SCHOOL</v>
      </c>
      <c r="D188" t="s">
        <v>11</v>
      </c>
      <c r="E188" t="s">
        <v>248</v>
      </c>
      <c r="F188" t="s">
        <v>30</v>
      </c>
      <c r="G188">
        <v>75211</v>
      </c>
      <c r="H188">
        <v>2002</v>
      </c>
      <c r="I188" s="1">
        <v>0</v>
      </c>
      <c r="J188" s="1">
        <v>0</v>
      </c>
    </row>
    <row r="189" spans="1:11" x14ac:dyDescent="0.35">
      <c r="A189">
        <v>304236</v>
      </c>
      <c r="B189">
        <v>824231</v>
      </c>
      <c r="C189" t="str">
        <f>"SANTA CLARA DE ASSISI SCHOOL"</f>
        <v>SANTA CLARA DE ASSISI SCHOOL</v>
      </c>
      <c r="D189" t="s">
        <v>11</v>
      </c>
      <c r="E189" t="s">
        <v>248</v>
      </c>
      <c r="F189" t="s">
        <v>30</v>
      </c>
      <c r="G189">
        <v>75211</v>
      </c>
      <c r="H189">
        <v>2002</v>
      </c>
      <c r="I189" s="1">
        <v>0</v>
      </c>
      <c r="J189" s="1">
        <v>0</v>
      </c>
    </row>
    <row r="190" spans="1:11" x14ac:dyDescent="0.35">
      <c r="A190">
        <v>287842</v>
      </c>
      <c r="B190">
        <v>753189</v>
      </c>
      <c r="C190" t="str">
        <f>"SEAGRAVES INDEP SCHOOL DIST"</f>
        <v>SEAGRAVES INDEP SCHOOL DIST</v>
      </c>
      <c r="D190" t="s">
        <v>11</v>
      </c>
      <c r="E190" t="s">
        <v>249</v>
      </c>
      <c r="F190" t="s">
        <v>250</v>
      </c>
      <c r="G190">
        <v>79359</v>
      </c>
      <c r="H190">
        <v>2002</v>
      </c>
      <c r="I190" s="1">
        <v>4428</v>
      </c>
      <c r="J190" s="1">
        <v>5400</v>
      </c>
      <c r="K190" s="1">
        <v>4329.6000000000004</v>
      </c>
    </row>
    <row r="191" spans="1:11" x14ac:dyDescent="0.35">
      <c r="A191">
        <v>287842</v>
      </c>
      <c r="B191">
        <v>753184</v>
      </c>
      <c r="C191" t="str">
        <f>"SEAGRAVES INDEP SCHOOL DIST"</f>
        <v>SEAGRAVES INDEP SCHOOL DIST</v>
      </c>
      <c r="D191" t="s">
        <v>11</v>
      </c>
      <c r="E191" t="s">
        <v>249</v>
      </c>
      <c r="F191" t="s">
        <v>250</v>
      </c>
      <c r="G191">
        <v>79359</v>
      </c>
      <c r="H191">
        <v>2002</v>
      </c>
      <c r="I191" s="1">
        <v>4428</v>
      </c>
      <c r="J191" s="1">
        <v>5400</v>
      </c>
    </row>
    <row r="192" spans="1:11" x14ac:dyDescent="0.35">
      <c r="A192">
        <v>301799</v>
      </c>
      <c r="B192">
        <v>775390</v>
      </c>
      <c r="C192" t="str">
        <f>"SHAMROCK INDEP SCHOOL DISTRICT"</f>
        <v>SHAMROCK INDEP SCHOOL DISTRICT</v>
      </c>
      <c r="D192" t="s">
        <v>11</v>
      </c>
      <c r="E192" t="s">
        <v>251</v>
      </c>
      <c r="F192" t="s">
        <v>252</v>
      </c>
      <c r="G192">
        <v>79079</v>
      </c>
      <c r="H192">
        <v>2002</v>
      </c>
      <c r="I192" s="1">
        <v>1776</v>
      </c>
      <c r="J192" s="1">
        <v>2400</v>
      </c>
      <c r="K192" s="1">
        <v>1776</v>
      </c>
    </row>
    <row r="193" spans="1:11" x14ac:dyDescent="0.35">
      <c r="A193">
        <v>311547</v>
      </c>
      <c r="B193">
        <v>813082</v>
      </c>
      <c r="C193" t="str">
        <f>"SHEKINAH RADIANCE CHARTER SCHOOL"</f>
        <v>SHEKINAH RADIANCE CHARTER SCHOOL</v>
      </c>
      <c r="D193" t="s">
        <v>11</v>
      </c>
      <c r="E193" t="s">
        <v>253</v>
      </c>
      <c r="F193" t="s">
        <v>24</v>
      </c>
      <c r="G193">
        <v>78209</v>
      </c>
      <c r="H193">
        <v>2002</v>
      </c>
      <c r="I193" s="1">
        <v>5238</v>
      </c>
      <c r="J193" s="1">
        <v>5820</v>
      </c>
    </row>
    <row r="194" spans="1:11" x14ac:dyDescent="0.35">
      <c r="A194">
        <v>329497</v>
      </c>
      <c r="B194">
        <v>888898</v>
      </c>
      <c r="C194" t="str">
        <f>"SIVELLS BEND INDEP SCHOOL DIST"</f>
        <v>SIVELLS BEND INDEP SCHOOL DIST</v>
      </c>
      <c r="D194" t="s">
        <v>11</v>
      </c>
      <c r="E194" t="s">
        <v>254</v>
      </c>
      <c r="F194" t="s">
        <v>255</v>
      </c>
      <c r="G194">
        <v>76240</v>
      </c>
      <c r="H194">
        <v>2002</v>
      </c>
      <c r="I194" s="1">
        <v>4200</v>
      </c>
      <c r="J194" s="1">
        <v>6000</v>
      </c>
      <c r="K194" s="1">
        <v>4200</v>
      </c>
    </row>
    <row r="195" spans="1:11" x14ac:dyDescent="0.35">
      <c r="A195">
        <v>313474</v>
      </c>
      <c r="B195">
        <v>820262</v>
      </c>
      <c r="C195" t="str">
        <f>"SOUTH TEXAS CHRISTIAN ACADEMY"</f>
        <v>SOUTH TEXAS CHRISTIAN ACADEMY</v>
      </c>
      <c r="D195" t="s">
        <v>11</v>
      </c>
      <c r="E195" t="s">
        <v>256</v>
      </c>
      <c r="F195" t="s">
        <v>257</v>
      </c>
      <c r="G195">
        <v>78503</v>
      </c>
      <c r="H195">
        <v>2002</v>
      </c>
      <c r="I195" s="1">
        <v>0</v>
      </c>
      <c r="J195" s="1">
        <v>0</v>
      </c>
    </row>
    <row r="196" spans="1:11" x14ac:dyDescent="0.35">
      <c r="A196">
        <v>321456</v>
      </c>
      <c r="B196">
        <v>854508</v>
      </c>
      <c r="C196" t="str">
        <f>"SOUTH WEST HIGH SCHOOL CHARTER SCHOOL"</f>
        <v>SOUTH WEST HIGH SCHOOL CHARTER SCHOOL</v>
      </c>
      <c r="D196" t="s">
        <v>11</v>
      </c>
      <c r="E196" t="s">
        <v>258</v>
      </c>
      <c r="F196" t="s">
        <v>259</v>
      </c>
      <c r="G196">
        <v>77057</v>
      </c>
      <c r="H196">
        <v>2002</v>
      </c>
      <c r="I196" s="1">
        <v>1500</v>
      </c>
      <c r="J196" s="1">
        <v>9000</v>
      </c>
    </row>
    <row r="197" spans="1:11" x14ac:dyDescent="0.35">
      <c r="A197">
        <v>321456</v>
      </c>
      <c r="B197">
        <v>854492</v>
      </c>
      <c r="C197" t="str">
        <f>"SOUTH WEST HIGH SCHOOL CHARTER SCHOOL"</f>
        <v>SOUTH WEST HIGH SCHOOL CHARTER SCHOOL</v>
      </c>
      <c r="D197" t="s">
        <v>11</v>
      </c>
      <c r="E197" t="s">
        <v>258</v>
      </c>
      <c r="F197" t="s">
        <v>259</v>
      </c>
      <c r="G197">
        <v>77057</v>
      </c>
      <c r="H197">
        <v>2002</v>
      </c>
      <c r="I197" s="1">
        <v>140</v>
      </c>
      <c r="J197" s="1">
        <v>840</v>
      </c>
    </row>
    <row r="198" spans="1:11" x14ac:dyDescent="0.35">
      <c r="A198">
        <v>311249</v>
      </c>
      <c r="B198">
        <v>811280</v>
      </c>
      <c r="C198" t="str">
        <f>"SOUTHWEST COMMUNITY CHRISTIAN"</f>
        <v>SOUTHWEST COMMUNITY CHRISTIAN</v>
      </c>
      <c r="D198" t="s">
        <v>11</v>
      </c>
      <c r="E198" t="s">
        <v>260</v>
      </c>
      <c r="F198" t="s">
        <v>174</v>
      </c>
      <c r="G198">
        <v>77083</v>
      </c>
      <c r="H198">
        <v>2002</v>
      </c>
      <c r="I198" s="1">
        <v>0</v>
      </c>
      <c r="J198" s="1">
        <v>0</v>
      </c>
    </row>
    <row r="199" spans="1:11" x14ac:dyDescent="0.35">
      <c r="A199">
        <v>311249</v>
      </c>
      <c r="B199">
        <v>811281</v>
      </c>
      <c r="C199" t="str">
        <f>"SOUTHWEST COMMUNITY CHRISTIAN"</f>
        <v>SOUTHWEST COMMUNITY CHRISTIAN</v>
      </c>
      <c r="D199" t="s">
        <v>11</v>
      </c>
      <c r="E199" t="s">
        <v>260</v>
      </c>
      <c r="F199" t="s">
        <v>174</v>
      </c>
      <c r="G199">
        <v>77083</v>
      </c>
      <c r="H199">
        <v>2002</v>
      </c>
      <c r="I199" s="1">
        <v>0</v>
      </c>
      <c r="J199" s="1">
        <v>0</v>
      </c>
    </row>
    <row r="200" spans="1:11" x14ac:dyDescent="0.35">
      <c r="A200">
        <v>329538</v>
      </c>
      <c r="B200">
        <v>889049</v>
      </c>
      <c r="C200" t="str">
        <f>"SOUTHWEST PREPARATORY SCHOOL DIST."</f>
        <v>SOUTHWEST PREPARATORY SCHOOL DIST.</v>
      </c>
      <c r="D200" t="s">
        <v>11</v>
      </c>
      <c r="E200" t="s">
        <v>261</v>
      </c>
      <c r="F200" t="s">
        <v>24</v>
      </c>
      <c r="G200">
        <v>78209</v>
      </c>
      <c r="H200">
        <v>2002</v>
      </c>
      <c r="I200" s="1">
        <v>15244.8</v>
      </c>
      <c r="J200" s="1">
        <v>25408</v>
      </c>
    </row>
    <row r="201" spans="1:11" x14ac:dyDescent="0.35">
      <c r="A201">
        <v>329538</v>
      </c>
      <c r="B201">
        <v>889047</v>
      </c>
      <c r="C201" t="str">
        <f>"SOUTHWEST PREPARATORY SCHOOL DIST."</f>
        <v>SOUTHWEST PREPARATORY SCHOOL DIST.</v>
      </c>
      <c r="D201" t="s">
        <v>11</v>
      </c>
      <c r="E201" t="s">
        <v>261</v>
      </c>
      <c r="F201" t="s">
        <v>24</v>
      </c>
      <c r="G201">
        <v>78209</v>
      </c>
      <c r="H201">
        <v>2002</v>
      </c>
      <c r="I201" s="1">
        <v>2400</v>
      </c>
      <c r="J201" s="1">
        <v>4800</v>
      </c>
      <c r="K201" s="1">
        <v>2400</v>
      </c>
    </row>
    <row r="202" spans="1:11" x14ac:dyDescent="0.35">
      <c r="A202">
        <v>329538</v>
      </c>
      <c r="B202">
        <v>889052</v>
      </c>
      <c r="C202" t="str">
        <f>"SOUTHWEST PREPARATORY SCHOOL DIST."</f>
        <v>SOUTHWEST PREPARATORY SCHOOL DIST.</v>
      </c>
      <c r="D202" t="s">
        <v>11</v>
      </c>
      <c r="E202" t="s">
        <v>261</v>
      </c>
      <c r="F202" t="s">
        <v>24</v>
      </c>
      <c r="G202">
        <v>78209</v>
      </c>
      <c r="H202">
        <v>2002</v>
      </c>
      <c r="I202" s="1">
        <v>4962</v>
      </c>
      <c r="J202" s="1">
        <v>9924</v>
      </c>
    </row>
    <row r="203" spans="1:11" x14ac:dyDescent="0.35">
      <c r="A203">
        <v>329538</v>
      </c>
      <c r="B203">
        <v>889048</v>
      </c>
      <c r="C203" t="str">
        <f>"SOUTHWEST PREPARATORY SCHOOL DIST."</f>
        <v>SOUTHWEST PREPARATORY SCHOOL DIST.</v>
      </c>
      <c r="D203" t="s">
        <v>11</v>
      </c>
      <c r="E203" t="s">
        <v>261</v>
      </c>
      <c r="F203" t="s">
        <v>24</v>
      </c>
      <c r="G203">
        <v>78209</v>
      </c>
      <c r="H203">
        <v>2002</v>
      </c>
      <c r="I203" s="1">
        <v>2135.9699999999998</v>
      </c>
      <c r="J203" s="1">
        <v>4271.9399999999996</v>
      </c>
      <c r="K203" s="1">
        <v>2135.9699999999998</v>
      </c>
    </row>
    <row r="204" spans="1:11" x14ac:dyDescent="0.35">
      <c r="A204">
        <v>318956</v>
      </c>
      <c r="B204">
        <v>843436</v>
      </c>
      <c r="C204" t="str">
        <f>"SPRING BRANCH ALTERNATIVE LEARNING ACADEMY"</f>
        <v>SPRING BRANCH ALTERNATIVE LEARNING ACADEMY</v>
      </c>
      <c r="D204" t="s">
        <v>11</v>
      </c>
      <c r="E204" t="s">
        <v>262</v>
      </c>
      <c r="F204" t="s">
        <v>13</v>
      </c>
      <c r="G204">
        <v>77055</v>
      </c>
      <c r="H204">
        <v>2002</v>
      </c>
      <c r="I204" s="1">
        <v>2880</v>
      </c>
      <c r="J204" s="1">
        <v>14400</v>
      </c>
    </row>
    <row r="205" spans="1:11" x14ac:dyDescent="0.35">
      <c r="A205">
        <v>324571</v>
      </c>
      <c r="B205">
        <v>869181</v>
      </c>
      <c r="C205" t="str">
        <f>"ST ANTHONY CATHEDRAL SCHOOL"</f>
        <v>ST ANTHONY CATHEDRAL SCHOOL</v>
      </c>
      <c r="D205" t="s">
        <v>11</v>
      </c>
      <c r="E205" t="s">
        <v>263</v>
      </c>
      <c r="F205" t="s">
        <v>19</v>
      </c>
      <c r="G205">
        <v>77701</v>
      </c>
      <c r="H205">
        <v>2002</v>
      </c>
      <c r="I205" s="1">
        <v>788</v>
      </c>
      <c r="J205" s="1">
        <v>2510</v>
      </c>
    </row>
    <row r="206" spans="1:11" x14ac:dyDescent="0.35">
      <c r="A206">
        <v>324571</v>
      </c>
      <c r="B206">
        <v>869285</v>
      </c>
      <c r="C206" t="str">
        <f>"ST ANTHONY CATHEDRAL SCHOOL"</f>
        <v>ST ANTHONY CATHEDRAL SCHOOL</v>
      </c>
      <c r="D206" t="s">
        <v>11</v>
      </c>
      <c r="E206" t="s">
        <v>263</v>
      </c>
      <c r="F206" t="s">
        <v>19</v>
      </c>
      <c r="G206">
        <v>77701</v>
      </c>
      <c r="H206">
        <v>2002</v>
      </c>
      <c r="I206" s="1">
        <v>299.76</v>
      </c>
      <c r="J206" s="1">
        <v>749.4</v>
      </c>
    </row>
    <row r="207" spans="1:11" x14ac:dyDescent="0.35">
      <c r="A207">
        <v>315139</v>
      </c>
      <c r="B207">
        <v>829356</v>
      </c>
      <c r="C207" t="str">
        <f>"ST ANTHONY ELEMENTARY SCHOOL"</f>
        <v>ST ANTHONY ELEMENTARY SCHOOL</v>
      </c>
      <c r="D207" t="s">
        <v>11</v>
      </c>
      <c r="E207" t="s">
        <v>264</v>
      </c>
      <c r="F207" t="s">
        <v>265</v>
      </c>
      <c r="G207">
        <v>78934</v>
      </c>
      <c r="H207">
        <v>2002</v>
      </c>
      <c r="I207" s="1">
        <v>3850</v>
      </c>
      <c r="J207" s="1">
        <v>7700</v>
      </c>
      <c r="K207" s="1">
        <v>3850</v>
      </c>
    </row>
    <row r="208" spans="1:11" x14ac:dyDescent="0.35">
      <c r="A208">
        <v>304195</v>
      </c>
      <c r="B208">
        <v>824525</v>
      </c>
      <c r="C208" t="str">
        <f>"ST ANTHONY ELEMENTARY SCHOOL"</f>
        <v>ST ANTHONY ELEMENTARY SCHOOL</v>
      </c>
      <c r="D208" t="s">
        <v>11</v>
      </c>
      <c r="E208" t="s">
        <v>266</v>
      </c>
      <c r="F208" t="s">
        <v>267</v>
      </c>
      <c r="G208">
        <v>78380</v>
      </c>
      <c r="H208">
        <v>2002</v>
      </c>
      <c r="I208" s="1">
        <v>0</v>
      </c>
      <c r="J208" s="1">
        <v>0</v>
      </c>
    </row>
    <row r="209" spans="1:11" x14ac:dyDescent="0.35">
      <c r="A209">
        <v>304195</v>
      </c>
      <c r="B209">
        <v>824526</v>
      </c>
      <c r="C209" t="str">
        <f>"ST ANTHONY ELEMENTARY SCHOOL"</f>
        <v>ST ANTHONY ELEMENTARY SCHOOL</v>
      </c>
      <c r="D209" t="s">
        <v>11</v>
      </c>
      <c r="E209" t="s">
        <v>266</v>
      </c>
      <c r="F209" t="s">
        <v>267</v>
      </c>
      <c r="G209">
        <v>78380</v>
      </c>
      <c r="H209">
        <v>2002</v>
      </c>
      <c r="I209" s="1">
        <v>0</v>
      </c>
      <c r="J209" s="1">
        <v>0</v>
      </c>
    </row>
    <row r="210" spans="1:11" x14ac:dyDescent="0.35">
      <c r="A210">
        <v>311752</v>
      </c>
      <c r="B210">
        <v>814473</v>
      </c>
      <c r="C210" t="str">
        <f>"ST ANTHONY SCHOOL"</f>
        <v>ST ANTHONY SCHOOL</v>
      </c>
      <c r="D210" t="s">
        <v>11</v>
      </c>
      <c r="E210" t="s">
        <v>268</v>
      </c>
      <c r="F210" t="s">
        <v>24</v>
      </c>
      <c r="G210">
        <v>78212</v>
      </c>
      <c r="H210">
        <v>2002</v>
      </c>
      <c r="I210" s="1">
        <v>1021.01</v>
      </c>
      <c r="J210" s="1">
        <v>2552.52</v>
      </c>
    </row>
    <row r="211" spans="1:11" x14ac:dyDescent="0.35">
      <c r="A211">
        <v>323163</v>
      </c>
      <c r="B211">
        <v>862252</v>
      </c>
      <c r="C211" t="str">
        <f>"ST CECILIA SCHOOL"</f>
        <v>ST CECILIA SCHOOL</v>
      </c>
      <c r="D211" t="s">
        <v>11</v>
      </c>
      <c r="E211" t="s">
        <v>269</v>
      </c>
      <c r="F211" t="s">
        <v>21</v>
      </c>
      <c r="G211">
        <v>75208</v>
      </c>
      <c r="H211">
        <v>2002</v>
      </c>
      <c r="I211" s="1">
        <v>2376</v>
      </c>
      <c r="J211" s="1">
        <v>3960</v>
      </c>
      <c r="K211" s="1">
        <v>1245.6099999999999</v>
      </c>
    </row>
    <row r="212" spans="1:11" x14ac:dyDescent="0.35">
      <c r="A212">
        <v>323163</v>
      </c>
      <c r="B212">
        <v>862200</v>
      </c>
      <c r="C212" t="str">
        <f>"ST CECILIA SCHOOL"</f>
        <v>ST CECILIA SCHOOL</v>
      </c>
      <c r="D212" t="s">
        <v>11</v>
      </c>
      <c r="E212" t="s">
        <v>269</v>
      </c>
      <c r="F212" t="s">
        <v>21</v>
      </c>
      <c r="G212">
        <v>75208</v>
      </c>
      <c r="H212">
        <v>2002</v>
      </c>
      <c r="I212" s="1">
        <v>1563.62</v>
      </c>
      <c r="J212" s="1">
        <v>2606.04</v>
      </c>
    </row>
    <row r="213" spans="1:11" x14ac:dyDescent="0.35">
      <c r="A213">
        <v>289342</v>
      </c>
      <c r="B213">
        <v>765402</v>
      </c>
      <c r="C213" t="str">
        <f>"ST FRANCIS DE SALES SCHOOL"</f>
        <v>ST FRANCIS DE SALES SCHOOL</v>
      </c>
      <c r="D213" t="s">
        <v>11</v>
      </c>
      <c r="E213" t="s">
        <v>270</v>
      </c>
      <c r="F213" t="s">
        <v>13</v>
      </c>
      <c r="G213">
        <v>77036</v>
      </c>
      <c r="H213">
        <v>2002</v>
      </c>
      <c r="I213" s="1">
        <v>2688</v>
      </c>
      <c r="J213" s="1">
        <v>6720</v>
      </c>
      <c r="K213" s="1">
        <v>2668</v>
      </c>
    </row>
    <row r="214" spans="1:11" x14ac:dyDescent="0.35">
      <c r="A214">
        <v>290451</v>
      </c>
      <c r="B214">
        <v>742782</v>
      </c>
      <c r="C214" t="str">
        <f>"ST GERARD HIGH SCHOOL"</f>
        <v>ST GERARD HIGH SCHOOL</v>
      </c>
      <c r="D214" t="s">
        <v>11</v>
      </c>
      <c r="E214" t="s">
        <v>271</v>
      </c>
      <c r="F214" t="s">
        <v>24</v>
      </c>
      <c r="G214">
        <v>78203</v>
      </c>
      <c r="H214">
        <v>2002</v>
      </c>
      <c r="I214" s="1">
        <v>240</v>
      </c>
      <c r="J214" s="1">
        <v>300</v>
      </c>
    </row>
    <row r="215" spans="1:11" x14ac:dyDescent="0.35">
      <c r="A215">
        <v>302395</v>
      </c>
      <c r="B215">
        <v>819380</v>
      </c>
      <c r="C215" t="str">
        <f>"ST HELEN SCHOOL"</f>
        <v>ST HELEN SCHOOL</v>
      </c>
      <c r="D215" t="s">
        <v>11</v>
      </c>
      <c r="E215" t="s">
        <v>272</v>
      </c>
      <c r="F215" t="s">
        <v>273</v>
      </c>
      <c r="G215">
        <v>77581</v>
      </c>
      <c r="H215">
        <v>2002</v>
      </c>
      <c r="I215" s="1">
        <v>95.88</v>
      </c>
      <c r="J215" s="1">
        <v>479.4</v>
      </c>
    </row>
    <row r="216" spans="1:11" x14ac:dyDescent="0.35">
      <c r="A216">
        <v>311834</v>
      </c>
      <c r="B216">
        <v>814937</v>
      </c>
      <c r="C216" t="str">
        <f>"ST JOHN BERCHMANS SCHOOL"</f>
        <v>ST JOHN BERCHMANS SCHOOL</v>
      </c>
      <c r="D216" t="s">
        <v>11</v>
      </c>
      <c r="E216" t="s">
        <v>274</v>
      </c>
      <c r="F216" t="s">
        <v>24</v>
      </c>
      <c r="G216">
        <v>78226</v>
      </c>
      <c r="H216">
        <v>2002</v>
      </c>
      <c r="I216" s="1">
        <v>2563.9699999999998</v>
      </c>
      <c r="J216" s="1">
        <v>3204.96</v>
      </c>
      <c r="K216" s="1">
        <v>2563.9699999999998</v>
      </c>
    </row>
    <row r="217" spans="1:11" x14ac:dyDescent="0.35">
      <c r="A217">
        <v>311834</v>
      </c>
      <c r="B217">
        <v>814969</v>
      </c>
      <c r="C217" t="str">
        <f>"ST JOHN BERCHMANS SCHOOL"</f>
        <v>ST JOHN BERCHMANS SCHOOL</v>
      </c>
      <c r="D217" t="s">
        <v>11</v>
      </c>
      <c r="E217" t="s">
        <v>274</v>
      </c>
      <c r="F217" t="s">
        <v>24</v>
      </c>
      <c r="G217">
        <v>78226</v>
      </c>
      <c r="H217">
        <v>2002</v>
      </c>
      <c r="I217" s="1">
        <v>5616</v>
      </c>
      <c r="J217" s="1">
        <v>7020</v>
      </c>
      <c r="K217" s="1">
        <v>5616</v>
      </c>
    </row>
    <row r="218" spans="1:11" x14ac:dyDescent="0.35">
      <c r="A218">
        <v>301885</v>
      </c>
      <c r="B218">
        <v>775312</v>
      </c>
      <c r="C218" t="str">
        <f>"ST JOSEPH ELEMENTARY SCHOOL"</f>
        <v>ST JOSEPH ELEMENTARY SCHOOL</v>
      </c>
      <c r="D218" t="s">
        <v>11</v>
      </c>
      <c r="E218" t="s">
        <v>275</v>
      </c>
      <c r="F218" t="s">
        <v>46</v>
      </c>
      <c r="G218">
        <v>79110</v>
      </c>
      <c r="H218">
        <v>2002</v>
      </c>
      <c r="I218" s="1">
        <v>127.68</v>
      </c>
      <c r="J218" s="1">
        <v>319.2</v>
      </c>
    </row>
    <row r="219" spans="1:11" x14ac:dyDescent="0.35">
      <c r="A219">
        <v>293146</v>
      </c>
      <c r="B219">
        <v>828875</v>
      </c>
      <c r="C219" t="str">
        <f>"ST LOUIS CATHOLIC SCHOOL"</f>
        <v>ST LOUIS CATHOLIC SCHOOL</v>
      </c>
      <c r="D219" t="s">
        <v>11</v>
      </c>
      <c r="E219" t="s">
        <v>276</v>
      </c>
      <c r="F219" t="s">
        <v>277</v>
      </c>
      <c r="G219">
        <v>78009</v>
      </c>
      <c r="H219">
        <v>2002</v>
      </c>
      <c r="I219" s="1">
        <v>3510</v>
      </c>
      <c r="J219" s="1">
        <v>7020</v>
      </c>
      <c r="K219" s="1">
        <v>3510</v>
      </c>
    </row>
    <row r="220" spans="1:11" x14ac:dyDescent="0.35">
      <c r="A220">
        <v>323248</v>
      </c>
      <c r="B220">
        <v>862757</v>
      </c>
      <c r="C220" t="str">
        <f>"ST MARY'S ACADEMY CHARTER SCHOOL"</f>
        <v>ST MARY'S ACADEMY CHARTER SCHOOL</v>
      </c>
      <c r="D220" t="s">
        <v>11</v>
      </c>
      <c r="E220" t="s">
        <v>278</v>
      </c>
      <c r="F220" t="s">
        <v>279</v>
      </c>
      <c r="G220">
        <v>78104</v>
      </c>
      <c r="H220">
        <v>2002</v>
      </c>
      <c r="I220" s="1">
        <v>0</v>
      </c>
      <c r="J220" s="1">
        <v>0</v>
      </c>
    </row>
    <row r="221" spans="1:11" x14ac:dyDescent="0.35">
      <c r="A221">
        <v>318047</v>
      </c>
      <c r="B221">
        <v>840107</v>
      </c>
      <c r="C221" t="str">
        <f>"ST MATTHEW CATHOLIC SCHOOL"</f>
        <v>ST MATTHEW CATHOLIC SCHOOL</v>
      </c>
      <c r="D221" t="s">
        <v>11</v>
      </c>
      <c r="E221" t="s">
        <v>280</v>
      </c>
      <c r="F221" t="s">
        <v>24</v>
      </c>
      <c r="G221">
        <v>78230</v>
      </c>
      <c r="H221">
        <v>2002</v>
      </c>
      <c r="I221" s="1">
        <v>378.62</v>
      </c>
      <c r="J221" s="1">
        <v>946.56</v>
      </c>
      <c r="K221" s="1">
        <v>327.38</v>
      </c>
    </row>
    <row r="222" spans="1:11" x14ac:dyDescent="0.35">
      <c r="A222">
        <v>294987</v>
      </c>
      <c r="B222">
        <v>804207</v>
      </c>
      <c r="C222" t="str">
        <f>"ST PHILIP NERI SCHOOL"</f>
        <v>ST PHILIP NERI SCHOOL</v>
      </c>
      <c r="D222" t="s">
        <v>11</v>
      </c>
      <c r="E222" t="s">
        <v>281</v>
      </c>
      <c r="F222" t="s">
        <v>174</v>
      </c>
      <c r="G222">
        <v>77048</v>
      </c>
      <c r="H222">
        <v>2002</v>
      </c>
      <c r="I222" s="1">
        <v>0</v>
      </c>
      <c r="J222" s="1">
        <v>0</v>
      </c>
    </row>
    <row r="223" spans="1:11" x14ac:dyDescent="0.35">
      <c r="A223">
        <v>294987</v>
      </c>
      <c r="B223">
        <v>804208</v>
      </c>
      <c r="C223" t="str">
        <f>"ST PHILIP NERI SCHOOL"</f>
        <v>ST PHILIP NERI SCHOOL</v>
      </c>
      <c r="D223" t="s">
        <v>11</v>
      </c>
      <c r="E223" t="s">
        <v>281</v>
      </c>
      <c r="F223" t="s">
        <v>174</v>
      </c>
      <c r="G223">
        <v>77048</v>
      </c>
      <c r="H223">
        <v>2002</v>
      </c>
      <c r="I223" s="1">
        <v>0</v>
      </c>
      <c r="J223" s="1">
        <v>0</v>
      </c>
    </row>
    <row r="224" spans="1:11" x14ac:dyDescent="0.35">
      <c r="A224">
        <v>285466</v>
      </c>
      <c r="B224">
        <v>821171</v>
      </c>
      <c r="C224" t="str">
        <f>"ST PIUS X SCHOOL"</f>
        <v>ST PIUS X SCHOOL</v>
      </c>
      <c r="D224" t="s">
        <v>11</v>
      </c>
      <c r="E224" t="s">
        <v>282</v>
      </c>
      <c r="F224" t="s">
        <v>21</v>
      </c>
      <c r="G224">
        <v>75228</v>
      </c>
      <c r="H224">
        <v>2002</v>
      </c>
      <c r="I224" s="1">
        <v>0</v>
      </c>
      <c r="J224" s="1">
        <v>0</v>
      </c>
    </row>
    <row r="225" spans="1:11" x14ac:dyDescent="0.35">
      <c r="A225">
        <v>315901</v>
      </c>
      <c r="B225">
        <v>836928</v>
      </c>
      <c r="C225" t="str">
        <f>"ST THOMAS MORE SCHOOL"</f>
        <v>ST THOMAS MORE SCHOOL</v>
      </c>
      <c r="D225" t="s">
        <v>11</v>
      </c>
      <c r="E225" t="s">
        <v>283</v>
      </c>
      <c r="F225" t="s">
        <v>13</v>
      </c>
      <c r="G225">
        <v>77096</v>
      </c>
      <c r="H225">
        <v>2002</v>
      </c>
      <c r="I225" s="1">
        <v>480</v>
      </c>
      <c r="J225" s="1">
        <v>2400</v>
      </c>
    </row>
    <row r="226" spans="1:11" x14ac:dyDescent="0.35">
      <c r="A226">
        <v>328645</v>
      </c>
      <c r="B226">
        <v>885499</v>
      </c>
      <c r="C226" t="str">
        <f>"ST. AUGUSTINE ELEMENTARY SCHOOL"</f>
        <v>ST. AUGUSTINE ELEMENTARY SCHOOL</v>
      </c>
      <c r="D226" t="s">
        <v>11</v>
      </c>
      <c r="E226" t="s">
        <v>284</v>
      </c>
      <c r="F226" t="s">
        <v>13</v>
      </c>
      <c r="G226">
        <v>77017</v>
      </c>
      <c r="H226">
        <v>2002</v>
      </c>
      <c r="I226" s="1">
        <v>1502.9</v>
      </c>
      <c r="J226" s="1">
        <v>3005.8</v>
      </c>
      <c r="K226" s="1">
        <v>1233.0999999999999</v>
      </c>
    </row>
    <row r="227" spans="1:11" x14ac:dyDescent="0.35">
      <c r="A227">
        <v>331039</v>
      </c>
      <c r="B227">
        <v>895284</v>
      </c>
      <c r="C227" t="str">
        <f>"ST. GEORGE CATHOLIC SCHOOL"</f>
        <v>ST. GEORGE CATHOLIC SCHOOL</v>
      </c>
      <c r="D227" t="s">
        <v>11</v>
      </c>
      <c r="E227" t="s">
        <v>285</v>
      </c>
      <c r="F227" t="s">
        <v>148</v>
      </c>
      <c r="G227">
        <v>76111</v>
      </c>
      <c r="H227">
        <v>2002</v>
      </c>
      <c r="I227" s="1">
        <v>2880</v>
      </c>
      <c r="J227" s="1">
        <v>3600</v>
      </c>
    </row>
    <row r="228" spans="1:11" x14ac:dyDescent="0.35">
      <c r="A228">
        <v>312595</v>
      </c>
      <c r="B228">
        <v>818385</v>
      </c>
      <c r="C228" t="str">
        <f>"STEWART/ EDISON JUNIOR ACADEMY"</f>
        <v>STEWART/ EDISON JUNIOR ACADEMY</v>
      </c>
      <c r="D228" t="s">
        <v>11</v>
      </c>
      <c r="E228" t="s">
        <v>286</v>
      </c>
      <c r="F228" t="s">
        <v>287</v>
      </c>
      <c r="G228">
        <v>75701</v>
      </c>
      <c r="H228">
        <v>2002</v>
      </c>
      <c r="I228" s="1">
        <v>1920</v>
      </c>
      <c r="J228" s="1">
        <v>2400</v>
      </c>
    </row>
    <row r="229" spans="1:11" x14ac:dyDescent="0.35">
      <c r="A229">
        <v>315350</v>
      </c>
      <c r="B229">
        <v>828906</v>
      </c>
      <c r="C229" t="str">
        <f>"SWEET HOME INDEP SCH DISTRICT"</f>
        <v>SWEET HOME INDEP SCH DISTRICT</v>
      </c>
      <c r="D229" t="s">
        <v>11</v>
      </c>
      <c r="E229" t="s">
        <v>288</v>
      </c>
      <c r="F229" t="s">
        <v>289</v>
      </c>
      <c r="G229">
        <v>77987</v>
      </c>
      <c r="H229">
        <v>2002</v>
      </c>
      <c r="I229" s="1">
        <v>6300</v>
      </c>
      <c r="J229" s="1">
        <v>10500</v>
      </c>
    </row>
    <row r="230" spans="1:11" x14ac:dyDescent="0.35">
      <c r="A230">
        <v>315350</v>
      </c>
      <c r="B230">
        <v>828801</v>
      </c>
      <c r="C230" t="str">
        <f>"SWEET HOME INDEP SCH DISTRICT"</f>
        <v>SWEET HOME INDEP SCH DISTRICT</v>
      </c>
      <c r="D230" t="s">
        <v>11</v>
      </c>
      <c r="E230" t="s">
        <v>288</v>
      </c>
      <c r="F230" t="s">
        <v>289</v>
      </c>
      <c r="G230">
        <v>77987</v>
      </c>
      <c r="H230">
        <v>2002</v>
      </c>
      <c r="I230" s="1">
        <v>1402.27</v>
      </c>
      <c r="J230" s="1">
        <v>2337.12</v>
      </c>
      <c r="K230" s="1">
        <v>983.76</v>
      </c>
    </row>
    <row r="231" spans="1:11" x14ac:dyDescent="0.35">
      <c r="A231">
        <v>320982</v>
      </c>
      <c r="B231">
        <v>854038</v>
      </c>
      <c r="C231" t="str">
        <f>"TECHNOLOGY EDUCATION CHARTER SCHOOL"</f>
        <v>TECHNOLOGY EDUCATION CHARTER SCHOOL</v>
      </c>
      <c r="D231" t="s">
        <v>11</v>
      </c>
      <c r="E231" t="s">
        <v>290</v>
      </c>
      <c r="F231" t="s">
        <v>245</v>
      </c>
      <c r="G231">
        <v>78596</v>
      </c>
      <c r="H231">
        <v>2002</v>
      </c>
      <c r="I231" s="1">
        <v>3293.68</v>
      </c>
      <c r="J231" s="1">
        <v>3659.64</v>
      </c>
    </row>
    <row r="232" spans="1:11" x14ac:dyDescent="0.35">
      <c r="A232">
        <v>320982</v>
      </c>
      <c r="B232">
        <v>853927</v>
      </c>
      <c r="C232" t="str">
        <f>"TECHNOLOGY EDUCATION CHARTER SCHOOL"</f>
        <v>TECHNOLOGY EDUCATION CHARTER SCHOOL</v>
      </c>
      <c r="D232" t="s">
        <v>11</v>
      </c>
      <c r="E232" t="s">
        <v>290</v>
      </c>
      <c r="F232" t="s">
        <v>245</v>
      </c>
      <c r="G232">
        <v>78596</v>
      </c>
      <c r="H232">
        <v>2002</v>
      </c>
      <c r="I232" s="1">
        <v>5778</v>
      </c>
      <c r="J232" s="1">
        <v>6420</v>
      </c>
      <c r="K232" s="1">
        <v>5400</v>
      </c>
    </row>
    <row r="233" spans="1:11" x14ac:dyDescent="0.35">
      <c r="A233">
        <v>313487</v>
      </c>
      <c r="B233">
        <v>820435</v>
      </c>
      <c r="C233" t="str">
        <f>"TENAHA INDEP SCHOOL DISTRICT"</f>
        <v>TENAHA INDEP SCHOOL DISTRICT</v>
      </c>
      <c r="D233" t="s">
        <v>11</v>
      </c>
      <c r="E233" t="s">
        <v>291</v>
      </c>
      <c r="F233" t="s">
        <v>292</v>
      </c>
      <c r="G233">
        <v>75974</v>
      </c>
      <c r="H233">
        <v>2002</v>
      </c>
      <c r="I233" s="1">
        <v>4792.16</v>
      </c>
      <c r="J233" s="1">
        <v>5637.84</v>
      </c>
      <c r="K233" s="1">
        <v>4497.49</v>
      </c>
    </row>
    <row r="234" spans="1:11" x14ac:dyDescent="0.35">
      <c r="A234">
        <v>313487</v>
      </c>
      <c r="B234">
        <v>820376</v>
      </c>
      <c r="C234" t="str">
        <f>"TENAHA INDEP SCHOOL DISTRICT"</f>
        <v>TENAHA INDEP SCHOOL DISTRICT</v>
      </c>
      <c r="D234" t="s">
        <v>11</v>
      </c>
      <c r="E234" t="s">
        <v>291</v>
      </c>
      <c r="F234" t="s">
        <v>292</v>
      </c>
      <c r="G234">
        <v>75974</v>
      </c>
      <c r="H234">
        <v>2002</v>
      </c>
      <c r="I234" s="1">
        <v>4831.03</v>
      </c>
      <c r="J234" s="1">
        <v>5683.56</v>
      </c>
    </row>
    <row r="235" spans="1:11" x14ac:dyDescent="0.35">
      <c r="A235">
        <v>320969</v>
      </c>
      <c r="B235">
        <v>852112</v>
      </c>
      <c r="C235" t="str">
        <f>"THE CANTERBURY EPISCOPAL SCHOOL"</f>
        <v>THE CANTERBURY EPISCOPAL SCHOOL</v>
      </c>
      <c r="D235" t="s">
        <v>11</v>
      </c>
      <c r="E235" t="s">
        <v>293</v>
      </c>
      <c r="F235" t="s">
        <v>294</v>
      </c>
      <c r="G235">
        <v>75115</v>
      </c>
      <c r="H235">
        <v>2002</v>
      </c>
      <c r="I235" s="1">
        <v>37.630000000000003</v>
      </c>
      <c r="J235" s="1">
        <v>188.16</v>
      </c>
    </row>
    <row r="236" spans="1:11" x14ac:dyDescent="0.35">
      <c r="A236">
        <v>299455</v>
      </c>
      <c r="B236">
        <v>772725</v>
      </c>
      <c r="C236" t="str">
        <f>"THE CLASSICAL SCHOOL"</f>
        <v>THE CLASSICAL SCHOOL</v>
      </c>
      <c r="D236" t="s">
        <v>11</v>
      </c>
      <c r="E236" t="s">
        <v>295</v>
      </c>
      <c r="F236" t="s">
        <v>13</v>
      </c>
      <c r="G236">
        <v>77099</v>
      </c>
      <c r="H236">
        <v>2002</v>
      </c>
      <c r="I236" s="1">
        <v>2049.6</v>
      </c>
      <c r="J236" s="1">
        <v>10248</v>
      </c>
    </row>
    <row r="237" spans="1:11" x14ac:dyDescent="0.35">
      <c r="A237">
        <v>329774</v>
      </c>
      <c r="B237">
        <v>890105</v>
      </c>
      <c r="C237" t="str">
        <f>"THE EPISCOPAL SCHOOL"</f>
        <v>THE EPISCOPAL SCHOOL</v>
      </c>
      <c r="D237" t="s">
        <v>11</v>
      </c>
      <c r="E237" t="s">
        <v>296</v>
      </c>
      <c r="F237" t="s">
        <v>64</v>
      </c>
      <c r="G237">
        <v>76308</v>
      </c>
      <c r="H237">
        <v>2002</v>
      </c>
      <c r="I237" s="1">
        <v>1176</v>
      </c>
      <c r="J237" s="1">
        <v>2940</v>
      </c>
      <c r="K237" s="1">
        <v>964</v>
      </c>
    </row>
    <row r="238" spans="1:11" x14ac:dyDescent="0.35">
      <c r="A238">
        <v>299757</v>
      </c>
      <c r="B238">
        <v>855856</v>
      </c>
      <c r="C238" t="str">
        <f>"THERESA  B LEE ACADEMY"</f>
        <v>THERESA  B LEE ACADEMY</v>
      </c>
      <c r="D238" t="s">
        <v>11</v>
      </c>
      <c r="E238" t="s">
        <v>297</v>
      </c>
      <c r="F238" t="s">
        <v>298</v>
      </c>
      <c r="G238">
        <v>76103</v>
      </c>
      <c r="H238">
        <v>2002</v>
      </c>
      <c r="I238" s="1">
        <v>9440</v>
      </c>
      <c r="J238" s="1">
        <v>11800</v>
      </c>
    </row>
    <row r="239" spans="1:11" x14ac:dyDescent="0.35">
      <c r="A239">
        <v>302560</v>
      </c>
      <c r="B239">
        <v>801499</v>
      </c>
      <c r="C239" t="str">
        <f>"THREE WAY INDEP SCHOOL DIST"</f>
        <v>THREE WAY INDEP SCHOOL DIST</v>
      </c>
      <c r="D239" t="s">
        <v>11</v>
      </c>
      <c r="E239" t="s">
        <v>299</v>
      </c>
      <c r="F239" t="s">
        <v>300</v>
      </c>
      <c r="G239">
        <v>76401</v>
      </c>
      <c r="H239">
        <v>2002</v>
      </c>
      <c r="I239" s="1">
        <v>2640</v>
      </c>
      <c r="J239" s="1">
        <v>3300</v>
      </c>
      <c r="K239" s="1">
        <v>1874.64</v>
      </c>
    </row>
    <row r="240" spans="1:11" x14ac:dyDescent="0.35">
      <c r="A240">
        <v>302560</v>
      </c>
      <c r="B240">
        <v>801542</v>
      </c>
      <c r="C240" t="str">
        <f>"THREE WAY INDEP SCHOOL DIST"</f>
        <v>THREE WAY INDEP SCHOOL DIST</v>
      </c>
      <c r="D240" t="s">
        <v>11</v>
      </c>
      <c r="E240" t="s">
        <v>299</v>
      </c>
      <c r="F240" t="s">
        <v>300</v>
      </c>
      <c r="G240">
        <v>76401</v>
      </c>
      <c r="H240">
        <v>2002</v>
      </c>
      <c r="I240" s="1">
        <v>2880</v>
      </c>
      <c r="J240" s="1">
        <v>3600</v>
      </c>
      <c r="K240" s="1">
        <v>2880</v>
      </c>
    </row>
    <row r="241" spans="1:11" x14ac:dyDescent="0.35">
      <c r="A241">
        <v>316246</v>
      </c>
      <c r="B241">
        <v>833203</v>
      </c>
      <c r="C241" t="str">
        <f>"TITCHE ELEMENTARY SCHOOL"</f>
        <v>TITCHE ELEMENTARY SCHOOL</v>
      </c>
      <c r="D241" t="s">
        <v>11</v>
      </c>
      <c r="E241" t="s">
        <v>301</v>
      </c>
      <c r="F241" t="s">
        <v>21</v>
      </c>
      <c r="G241">
        <v>75227</v>
      </c>
      <c r="H241">
        <v>2002</v>
      </c>
      <c r="I241" s="1">
        <v>2160</v>
      </c>
      <c r="J241" s="1">
        <v>2400</v>
      </c>
    </row>
    <row r="242" spans="1:11" x14ac:dyDescent="0.35">
      <c r="A242">
        <v>312519</v>
      </c>
      <c r="B242">
        <v>817292</v>
      </c>
      <c r="C242" t="str">
        <f>"TOLAR INDEP SCHOOL DISTRICT"</f>
        <v>TOLAR INDEP SCHOOL DISTRICT</v>
      </c>
      <c r="D242" t="s">
        <v>11</v>
      </c>
      <c r="E242" t="s">
        <v>302</v>
      </c>
      <c r="F242" t="s">
        <v>303</v>
      </c>
      <c r="G242">
        <v>76476</v>
      </c>
      <c r="H242">
        <v>2002</v>
      </c>
      <c r="I242" s="1">
        <v>3240</v>
      </c>
      <c r="J242" s="1">
        <v>6000</v>
      </c>
      <c r="K242" s="1">
        <v>3240</v>
      </c>
    </row>
    <row r="243" spans="1:11" x14ac:dyDescent="0.35">
      <c r="A243">
        <v>313032</v>
      </c>
      <c r="B243">
        <v>820284</v>
      </c>
      <c r="C243" t="str">
        <f>"TOVAS CHARTER SCHOOL"</f>
        <v>TOVAS CHARTER SCHOOL</v>
      </c>
      <c r="D243" t="s">
        <v>11</v>
      </c>
      <c r="E243" t="s">
        <v>304</v>
      </c>
      <c r="F243" t="s">
        <v>305</v>
      </c>
      <c r="G243">
        <v>76504</v>
      </c>
      <c r="H243">
        <v>2002</v>
      </c>
      <c r="I243" s="1">
        <v>1080</v>
      </c>
      <c r="J243" s="1">
        <v>1200</v>
      </c>
      <c r="K243" s="1">
        <v>1080</v>
      </c>
    </row>
    <row r="244" spans="1:11" x14ac:dyDescent="0.35">
      <c r="A244">
        <v>322699</v>
      </c>
      <c r="B244">
        <v>860382</v>
      </c>
      <c r="C244" t="str">
        <f>"TRANSFORMATIVE  CHARTER ACADEMY"</f>
        <v>TRANSFORMATIVE  CHARTER ACADEMY</v>
      </c>
      <c r="D244" t="s">
        <v>11</v>
      </c>
      <c r="E244" t="s">
        <v>306</v>
      </c>
      <c r="F244" t="s">
        <v>307</v>
      </c>
      <c r="G244">
        <v>76541</v>
      </c>
      <c r="H244">
        <v>2002</v>
      </c>
      <c r="I244" s="1">
        <v>960</v>
      </c>
      <c r="J244" s="1">
        <v>4800</v>
      </c>
    </row>
    <row r="245" spans="1:11" x14ac:dyDescent="0.35">
      <c r="A245">
        <v>321540</v>
      </c>
      <c r="B245">
        <v>855106</v>
      </c>
      <c r="C245" t="str">
        <f>"TRINITY LUTHERAN SCHOOL"</f>
        <v>TRINITY LUTHERAN SCHOOL</v>
      </c>
      <c r="D245" t="s">
        <v>11</v>
      </c>
      <c r="E245" t="s">
        <v>308</v>
      </c>
      <c r="F245" t="s">
        <v>48</v>
      </c>
      <c r="G245">
        <v>76710</v>
      </c>
      <c r="H245">
        <v>2002</v>
      </c>
      <c r="I245" s="1">
        <v>955.2</v>
      </c>
      <c r="J245" s="1">
        <v>2388</v>
      </c>
      <c r="K245" s="1">
        <v>569</v>
      </c>
    </row>
    <row r="246" spans="1:11" x14ac:dyDescent="0.35">
      <c r="A246">
        <v>289132</v>
      </c>
      <c r="B246">
        <v>738853</v>
      </c>
      <c r="C246" t="str">
        <f>"VALLEY GRANDE ELEM SCHOOL"</f>
        <v>VALLEY GRANDE ELEM SCHOOL</v>
      </c>
      <c r="D246" t="s">
        <v>11</v>
      </c>
      <c r="E246" t="s">
        <v>309</v>
      </c>
      <c r="F246" t="s">
        <v>245</v>
      </c>
      <c r="G246">
        <v>78596</v>
      </c>
      <c r="H246">
        <v>2002</v>
      </c>
      <c r="I246" s="1">
        <v>0</v>
      </c>
      <c r="J246" s="1">
        <v>0</v>
      </c>
    </row>
    <row r="247" spans="1:11" x14ac:dyDescent="0.35">
      <c r="A247">
        <v>318924</v>
      </c>
      <c r="B247">
        <v>846869</v>
      </c>
      <c r="C247" t="str">
        <f>"VALLEY HIGH SCHOOL"</f>
        <v>VALLEY HIGH SCHOOL</v>
      </c>
      <c r="D247" t="s">
        <v>11</v>
      </c>
      <c r="E247" t="s">
        <v>310</v>
      </c>
      <c r="F247" t="s">
        <v>311</v>
      </c>
      <c r="G247">
        <v>78550</v>
      </c>
      <c r="H247">
        <v>2002</v>
      </c>
      <c r="I247" s="1">
        <v>27270</v>
      </c>
      <c r="J247" s="1">
        <v>30300</v>
      </c>
      <c r="K247" s="1">
        <v>27270</v>
      </c>
    </row>
    <row r="248" spans="1:11" x14ac:dyDescent="0.35">
      <c r="A248">
        <v>307577</v>
      </c>
      <c r="B248">
        <v>799946</v>
      </c>
      <c r="C248" t="str">
        <f>"VANGUARD ACADEMY"</f>
        <v>VANGUARD ACADEMY</v>
      </c>
      <c r="D248" t="s">
        <v>11</v>
      </c>
      <c r="E248" t="s">
        <v>312</v>
      </c>
      <c r="F248" t="s">
        <v>313</v>
      </c>
      <c r="G248">
        <v>78577</v>
      </c>
      <c r="H248">
        <v>2002</v>
      </c>
      <c r="I248" s="1">
        <v>3780</v>
      </c>
      <c r="J248" s="1">
        <v>4200</v>
      </c>
    </row>
    <row r="249" spans="1:11" x14ac:dyDescent="0.35">
      <c r="A249">
        <v>314918</v>
      </c>
      <c r="B249">
        <v>826478</v>
      </c>
      <c r="C249" t="str">
        <f>"VERIBEST INDEPENDENT SCHOOL DISTRICT"</f>
        <v>VERIBEST INDEPENDENT SCHOOL DISTRICT</v>
      </c>
      <c r="D249" t="s">
        <v>11</v>
      </c>
      <c r="E249" t="s">
        <v>314</v>
      </c>
      <c r="F249" t="s">
        <v>315</v>
      </c>
      <c r="G249">
        <v>76886</v>
      </c>
      <c r="H249">
        <v>2002</v>
      </c>
      <c r="I249" s="1">
        <v>1177.68</v>
      </c>
      <c r="J249" s="1">
        <v>2103</v>
      </c>
      <c r="K249" s="1">
        <v>1177.68</v>
      </c>
    </row>
    <row r="250" spans="1:11" x14ac:dyDescent="0.35">
      <c r="A250">
        <v>303239</v>
      </c>
      <c r="B250">
        <v>798725</v>
      </c>
      <c r="C250" t="str">
        <f>"VYSEHRAD INDEP SCHOOL DISTRICT"</f>
        <v>VYSEHRAD INDEP SCHOOL DISTRICT</v>
      </c>
      <c r="D250" t="s">
        <v>11</v>
      </c>
      <c r="E250" t="s">
        <v>316</v>
      </c>
      <c r="F250" t="s">
        <v>111</v>
      </c>
      <c r="G250">
        <v>77964</v>
      </c>
      <c r="H250">
        <v>2002</v>
      </c>
      <c r="I250" s="1">
        <v>6720</v>
      </c>
      <c r="J250" s="1">
        <v>9600</v>
      </c>
      <c r="K250" s="1">
        <v>6160</v>
      </c>
    </row>
    <row r="251" spans="1:11" x14ac:dyDescent="0.35">
      <c r="A251">
        <v>321735</v>
      </c>
      <c r="B251">
        <v>855934</v>
      </c>
      <c r="C251" t="str">
        <f>"WA-SET PREPRATORY ACADEMY"</f>
        <v>WA-SET PREPRATORY ACADEMY</v>
      </c>
      <c r="D251" t="s">
        <v>11</v>
      </c>
      <c r="E251" t="s">
        <v>317</v>
      </c>
      <c r="F251" t="s">
        <v>13</v>
      </c>
      <c r="G251">
        <v>77099</v>
      </c>
      <c r="H251">
        <v>2002</v>
      </c>
      <c r="I251" s="1">
        <v>0</v>
      </c>
      <c r="J251" s="1">
        <v>0</v>
      </c>
    </row>
    <row r="252" spans="1:11" x14ac:dyDescent="0.35">
      <c r="A252">
        <v>321735</v>
      </c>
      <c r="B252">
        <v>855953</v>
      </c>
      <c r="C252" t="str">
        <f>"WA-SET PREPRATORY ACADEMY"</f>
        <v>WA-SET PREPRATORY ACADEMY</v>
      </c>
      <c r="D252" t="s">
        <v>11</v>
      </c>
      <c r="E252" t="s">
        <v>317</v>
      </c>
      <c r="F252" t="s">
        <v>13</v>
      </c>
      <c r="G252">
        <v>77099</v>
      </c>
      <c r="H252">
        <v>2002</v>
      </c>
      <c r="I252" s="1">
        <v>0</v>
      </c>
      <c r="J252" s="1">
        <v>0</v>
      </c>
    </row>
    <row r="253" spans="1:11" x14ac:dyDescent="0.35">
      <c r="A253">
        <v>288284</v>
      </c>
      <c r="B253">
        <v>736935</v>
      </c>
      <c r="C253" t="str">
        <f>"WALNUT BEND ISD"</f>
        <v>WALNUT BEND ISD</v>
      </c>
      <c r="D253" t="s">
        <v>11</v>
      </c>
      <c r="E253" t="s">
        <v>318</v>
      </c>
      <c r="F253" t="s">
        <v>255</v>
      </c>
      <c r="G253">
        <v>76240</v>
      </c>
      <c r="H253">
        <v>2002</v>
      </c>
      <c r="I253" s="1">
        <v>4800</v>
      </c>
      <c r="J253" s="1">
        <v>6000</v>
      </c>
      <c r="K253" s="1">
        <v>4800</v>
      </c>
    </row>
    <row r="254" spans="1:11" x14ac:dyDescent="0.35">
      <c r="A254">
        <v>303190</v>
      </c>
      <c r="B254">
        <v>805561</v>
      </c>
      <c r="C254" t="str">
        <f>"WESTHOFF INDEP SCHOOL DIST"</f>
        <v>WESTHOFF INDEP SCHOOL DIST</v>
      </c>
      <c r="D254" t="s">
        <v>11</v>
      </c>
      <c r="E254" t="s">
        <v>319</v>
      </c>
      <c r="F254" t="s">
        <v>320</v>
      </c>
      <c r="G254">
        <v>77994</v>
      </c>
      <c r="H254">
        <v>2002</v>
      </c>
      <c r="I254" s="1">
        <v>7680</v>
      </c>
      <c r="J254" s="1">
        <v>9600</v>
      </c>
      <c r="K254" s="1">
        <v>7520</v>
      </c>
    </row>
    <row r="255" spans="1:11" x14ac:dyDescent="0.35">
      <c r="A255">
        <v>324314</v>
      </c>
      <c r="B255">
        <v>867466</v>
      </c>
      <c r="C255" t="str">
        <f>"WINFREE ACADEMY CHARTER SCHOOL IRVING"</f>
        <v>WINFREE ACADEMY CHARTER SCHOOL IRVING</v>
      </c>
      <c r="D255" t="s">
        <v>11</v>
      </c>
      <c r="E255" t="s">
        <v>321</v>
      </c>
      <c r="F255" t="s">
        <v>322</v>
      </c>
      <c r="G255">
        <v>75060</v>
      </c>
      <c r="H255">
        <v>2002</v>
      </c>
      <c r="I255" s="1">
        <v>18000</v>
      </c>
      <c r="J255" s="1">
        <v>36000</v>
      </c>
      <c r="K255" s="1">
        <v>17888</v>
      </c>
    </row>
    <row r="256" spans="1:11" x14ac:dyDescent="0.35">
      <c r="A256">
        <v>306377</v>
      </c>
      <c r="B256">
        <v>855670</v>
      </c>
      <c r="C256" t="str">
        <f>"WONDERLAND EDUCATIONAL ESTATE"</f>
        <v>WONDERLAND EDUCATIONAL ESTATE</v>
      </c>
      <c r="D256" t="s">
        <v>11</v>
      </c>
      <c r="E256" t="s">
        <v>323</v>
      </c>
      <c r="F256" t="s">
        <v>13</v>
      </c>
      <c r="G256">
        <v>77021</v>
      </c>
      <c r="H256">
        <v>2002</v>
      </c>
      <c r="I256" s="1">
        <v>1728</v>
      </c>
      <c r="J256" s="1">
        <v>2160</v>
      </c>
    </row>
    <row r="257" spans="1:11" x14ac:dyDescent="0.35">
      <c r="A257">
        <v>321409</v>
      </c>
      <c r="B257">
        <v>854273</v>
      </c>
      <c r="C257" t="str">
        <f>"YES COLLEGE PREPRATORY ACADEMY"</f>
        <v>YES COLLEGE PREPRATORY ACADEMY</v>
      </c>
      <c r="D257" t="s">
        <v>11</v>
      </c>
      <c r="E257" t="s">
        <v>324</v>
      </c>
      <c r="F257" t="s">
        <v>13</v>
      </c>
      <c r="G257">
        <v>77034</v>
      </c>
      <c r="H257">
        <v>2002</v>
      </c>
      <c r="I257" s="1">
        <v>604.79999999999995</v>
      </c>
      <c r="J257" s="1">
        <v>672</v>
      </c>
    </row>
    <row r="258" spans="1:11" x14ac:dyDescent="0.35">
      <c r="A258">
        <v>321409</v>
      </c>
      <c r="B258">
        <v>854284</v>
      </c>
      <c r="C258" t="str">
        <f>"YES COLLEGE PREPRATORY ACADEMY"</f>
        <v>YES COLLEGE PREPRATORY ACADEMY</v>
      </c>
      <c r="D258" t="s">
        <v>11</v>
      </c>
      <c r="E258" t="s">
        <v>324</v>
      </c>
      <c r="F258" t="s">
        <v>13</v>
      </c>
      <c r="G258">
        <v>77034</v>
      </c>
      <c r="H258">
        <v>2002</v>
      </c>
      <c r="I258" s="1">
        <v>0</v>
      </c>
      <c r="J258" s="1">
        <v>0</v>
      </c>
    </row>
    <row r="259" spans="1:11" x14ac:dyDescent="0.35">
      <c r="A259">
        <v>307200</v>
      </c>
      <c r="B259">
        <v>796630</v>
      </c>
      <c r="C259" t="str">
        <f>"YMCA CHILDCARE AND CHARTER SCHOOL AT TEXAS MEDICAL CENTER"</f>
        <v>YMCA CHILDCARE AND CHARTER SCHOOL AT TEXAS MEDICAL CENTER</v>
      </c>
      <c r="D259" t="s">
        <v>11</v>
      </c>
      <c r="E259" t="s">
        <v>325</v>
      </c>
      <c r="F259" t="s">
        <v>13</v>
      </c>
      <c r="G259">
        <v>77021</v>
      </c>
      <c r="H259">
        <v>2002</v>
      </c>
      <c r="I259" s="1">
        <v>3456</v>
      </c>
      <c r="J259" s="1">
        <v>3840</v>
      </c>
      <c r="K259" s="1">
        <v>3456</v>
      </c>
    </row>
    <row r="260" spans="1:11" x14ac:dyDescent="0.35">
      <c r="A260">
        <v>307200</v>
      </c>
      <c r="B260">
        <v>861695</v>
      </c>
      <c r="C260" t="str">
        <f>"YMCA CHILDCARE AND CHARTER SCHOOL AT TEXAS MEDICAL CENTER"</f>
        <v>YMCA CHILDCARE AND CHARTER SCHOOL AT TEXAS MEDICAL CENTER</v>
      </c>
      <c r="D260" t="s">
        <v>11</v>
      </c>
      <c r="E260" t="s">
        <v>325</v>
      </c>
      <c r="F260" t="s">
        <v>13</v>
      </c>
      <c r="G260">
        <v>77021</v>
      </c>
      <c r="H260">
        <v>2002</v>
      </c>
      <c r="I260" s="1">
        <v>4860</v>
      </c>
      <c r="J260" s="1">
        <v>5400</v>
      </c>
    </row>
    <row r="261" spans="1:11" x14ac:dyDescent="0.35">
      <c r="A261">
        <v>307175</v>
      </c>
      <c r="B261">
        <v>796541</v>
      </c>
      <c r="C261" t="str">
        <f>"ZOE LEARNING ACADEMY"</f>
        <v>ZOE LEARNING ACADEMY</v>
      </c>
      <c r="D261" t="s">
        <v>11</v>
      </c>
      <c r="E261" t="s">
        <v>326</v>
      </c>
      <c r="F261" t="s">
        <v>13</v>
      </c>
      <c r="G261">
        <v>77021</v>
      </c>
      <c r="H261">
        <v>2002</v>
      </c>
      <c r="I261" s="1">
        <v>2348.1</v>
      </c>
      <c r="J261" s="1">
        <v>2609</v>
      </c>
    </row>
    <row r="262" spans="1:11" x14ac:dyDescent="0.35">
      <c r="A262">
        <v>324512</v>
      </c>
      <c r="B262">
        <v>868285</v>
      </c>
      <c r="C262" t="str">
        <f>"south west adventist junior academy"</f>
        <v>south west adventist junior academy</v>
      </c>
      <c r="D262" t="s">
        <v>11</v>
      </c>
      <c r="E262" t="s">
        <v>327</v>
      </c>
      <c r="F262" t="s">
        <v>328</v>
      </c>
      <c r="G262">
        <v>75203</v>
      </c>
      <c r="H262">
        <v>2002</v>
      </c>
      <c r="I262" s="1">
        <v>0</v>
      </c>
      <c r="J26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2002_School_Funding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2021-08-03T21:50:38Z</dcterms:created>
  <dcterms:modified xsi:type="dcterms:W3CDTF">2021-08-03T21:50:38Z</dcterms:modified>
</cp:coreProperties>
</file>