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gnp_dartmouth_edu/Documents/Desktop/CS/Stata/Texas/E-Rate_Funding/School/"/>
    </mc:Choice>
  </mc:AlternateContent>
  <xr:revisionPtr revIDLastSave="0" documentId="8_{0928F36E-1CF3-4415-924E-ECF32B001408}" xr6:coauthVersionLast="47" xr6:coauthVersionMax="47" xr10:uidLastSave="{00000000-0000-0000-0000-000000000000}"/>
  <bookViews>
    <workbookView xWindow="-110" yWindow="-110" windowWidth="19420" windowHeight="10420"/>
  </bookViews>
  <sheets>
    <sheet name="2004_School_Funding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</calcChain>
</file>

<file path=xl/sharedStrings.xml><?xml version="1.0" encoding="utf-8"?>
<sst xmlns="http://schemas.openxmlformats.org/spreadsheetml/2006/main" count="686" uniqueCount="287">
  <si>
    <t>471 Application Number</t>
  </si>
  <si>
    <t>FRN</t>
  </si>
  <si>
    <t>Applicant Name</t>
  </si>
  <si>
    <t>Application Type</t>
  </si>
  <si>
    <t>Applicant Street Address1</t>
  </si>
  <si>
    <t>Applicant City</t>
  </si>
  <si>
    <t>Applicant Zip Code</t>
  </si>
  <si>
    <t>Funding Year</t>
  </si>
  <si>
    <t>Committed Amount</t>
  </si>
  <si>
    <t>Cmtd Total Cost</t>
  </si>
  <si>
    <t>Total Authorized Disbursement</t>
  </si>
  <si>
    <t>SCHOOL</t>
  </si>
  <si>
    <t>6901 S. WESTMORELAND RD</t>
  </si>
  <si>
    <t>DALLAS</t>
  </si>
  <si>
    <t>200 HIGHWAY 271 N</t>
  </si>
  <si>
    <t>POWDERLY</t>
  </si>
  <si>
    <t>219 SOUTH FIRST STREET</t>
  </si>
  <si>
    <t>ABBOTT</t>
  </si>
  <si>
    <t>807 ROOSEVELT ST.</t>
  </si>
  <si>
    <t>SAN ANTONIO</t>
  </si>
  <si>
    <t>14035 S MAIN</t>
  </si>
  <si>
    <t>HOUSTON</t>
  </si>
  <si>
    <t>806 N COLORADO</t>
  </si>
  <si>
    <t>ADRIAN</t>
  </si>
  <si>
    <t>HWY 173 SOUTH</t>
  </si>
  <si>
    <t>BANDERA</t>
  </si>
  <si>
    <t>3222 103RD ST</t>
  </si>
  <si>
    <t>LUBBOCK</t>
  </si>
  <si>
    <t>5500 EL CAMINO DEL REY</t>
  </si>
  <si>
    <t>800 EAGLE DR</t>
  </si>
  <si>
    <t>ARGYLE</t>
  </si>
  <si>
    <t>2000 J.J. FLEWELLEN</t>
  </si>
  <si>
    <t>WACO</t>
  </si>
  <si>
    <t>4924 GRIGGS ROAD</t>
  </si>
  <si>
    <t>300 HAYES</t>
  </si>
  <si>
    <t>BENJAMIN</t>
  </si>
  <si>
    <t>3900 RUGGED DR</t>
  </si>
  <si>
    <t>9001 DIANA DR</t>
  </si>
  <si>
    <t>EL PASO</t>
  </si>
  <si>
    <t>PO BOX 949</t>
  </si>
  <si>
    <t>NEMO</t>
  </si>
  <si>
    <t>2507 CENTRAL FREEWAY E.</t>
  </si>
  <si>
    <t>WICHITA FALLS</t>
  </si>
  <si>
    <t>218 SCHOOL HOUSE RD</t>
  </si>
  <si>
    <t>BULLARD</t>
  </si>
  <si>
    <t>304 E 12TH ST</t>
  </si>
  <si>
    <t>CAMERON</t>
  </si>
  <si>
    <t>315 E FRANKLIN ST</t>
  </si>
  <si>
    <t>7900 MESA DRIVE</t>
  </si>
  <si>
    <t>2220 NW MILITARY HWY</t>
  </si>
  <si>
    <t>315 CHURCHILL RD</t>
  </si>
  <si>
    <t>FORT WORTH</t>
  </si>
  <si>
    <t>PO BOX 411</t>
  </si>
  <si>
    <t>LOMETA</t>
  </si>
  <si>
    <t>1403 N SAINT MARYS ST</t>
  </si>
  <si>
    <t>1638 ANN ARBOR ST</t>
  </si>
  <si>
    <t>7803 LITTLE YORK RD</t>
  </si>
  <si>
    <t>P.O. BOX 32</t>
  </si>
  <si>
    <t>MEADOW</t>
  </si>
  <si>
    <t>1700 WOODLAND AVENUE</t>
  </si>
  <si>
    <t>AUSTIN</t>
  </si>
  <si>
    <t>1102 N AVENUE N</t>
  </si>
  <si>
    <t>CLIFTON</t>
  </si>
  <si>
    <t>2547 US HWY 77</t>
  </si>
  <si>
    <t>DRICOLL</t>
  </si>
  <si>
    <t>6711 BELLFORT STREET</t>
  </si>
  <si>
    <t>501 MUSTANG DR</t>
  </si>
  <si>
    <t>DENVER CITY</t>
  </si>
  <si>
    <t>205 W COLLEGE AVE</t>
  </si>
  <si>
    <t>DEVINE</t>
  </si>
  <si>
    <t>3920 STONEY BROOK</t>
  </si>
  <si>
    <t>4009 JOSEPH HARDIN DRIVE</t>
  </si>
  <si>
    <t>924 WAYNE STREET</t>
  </si>
  <si>
    <t>5901 CRESTWOOD PLACE</t>
  </si>
  <si>
    <t>LITTLE ELM</t>
  </si>
  <si>
    <t>615 NORTH 25TH STREET</t>
  </si>
  <si>
    <t>3801 LOUIS J RODRIGUEZ DR.</t>
  </si>
  <si>
    <t>2900 WEST  WASHINGTON STREET SUITE 12</t>
  </si>
  <si>
    <t>STEPHENVILLE</t>
  </si>
  <si>
    <t>20500 FM 531</t>
  </si>
  <si>
    <t>HALLETTSVILLE</t>
  </si>
  <si>
    <t>132 HIGHWAY 95 SOUTH</t>
  </si>
  <si>
    <t>ELGIN</t>
  </si>
  <si>
    <t>2109 WEBSTER</t>
  </si>
  <si>
    <t>312 N 4TH ST</t>
  </si>
  <si>
    <t>FRUITVALE</t>
  </si>
  <si>
    <t>400 COLLEGE</t>
  </si>
  <si>
    <t>GAUSE</t>
  </si>
  <si>
    <t>6903 SUNBELT DR SO.</t>
  </si>
  <si>
    <t>436 SOUTH MAIN STREET</t>
  </si>
  <si>
    <t>6001 GULF FWY</t>
  </si>
  <si>
    <t>137 HAMILTON DR</t>
  </si>
  <si>
    <t>8415 WEST BELLFORT</t>
  </si>
  <si>
    <t>2602 W. ILLINOIS ST</t>
  </si>
  <si>
    <t>926 SAINT LAWRENCE ST</t>
  </si>
  <si>
    <t>GONZALES</t>
  </si>
  <si>
    <t>400 WEST DIVISION STREET</t>
  </si>
  <si>
    <t>GRAFORD</t>
  </si>
  <si>
    <t>4TH ST AND HWY 94</t>
  </si>
  <si>
    <t>GROVETON</t>
  </si>
  <si>
    <t>1214 LINCOLN STREET</t>
  </si>
  <si>
    <t>BROWNSVILLE</t>
  </si>
  <si>
    <t>1806 WEST JEFFERSON STREET</t>
  </si>
  <si>
    <t>HARLINGEN</t>
  </si>
  <si>
    <t>143 FOREST SERVICE RD #233</t>
  </si>
  <si>
    <t>NEW WAVERLY</t>
  </si>
  <si>
    <t>5000 HIRES LN</t>
  </si>
  <si>
    <t>HALTOM CITY</t>
  </si>
  <si>
    <t>5435 S BRAESWOOD</t>
  </si>
  <si>
    <t>930 EAST RUNDBERG LN</t>
  </si>
  <si>
    <t>11995 FORESTGATE DRIVE</t>
  </si>
  <si>
    <t>1310 PRAIRIE SUITE 1080</t>
  </si>
  <si>
    <t>1019 16TH STREET</t>
  </si>
  <si>
    <t>GALVASTON</t>
  </si>
  <si>
    <t>1026 SCHOOL AVE</t>
  </si>
  <si>
    <t>HERMLEIGH</t>
  </si>
  <si>
    <t>3900 N 23RD STREET</t>
  </si>
  <si>
    <t>MCALLEN</t>
  </si>
  <si>
    <t>PO BOX 18854</t>
  </si>
  <si>
    <t>4817 ODESSA AVE.</t>
  </si>
  <si>
    <t>426 N SAN FELIPE AVE</t>
  </si>
  <si>
    <t>3814 NASH BLVD</t>
  </si>
  <si>
    <t>FARM ROAD 1398</t>
  </si>
  <si>
    <t>HOOKS</t>
  </si>
  <si>
    <t>FARM ROAD 560</t>
  </si>
  <si>
    <t>7401 GULF FREEWAY</t>
  </si>
  <si>
    <t>902 WEST 8TH STREET</t>
  </si>
  <si>
    <t>200 COUNTY RD 421</t>
  </si>
  <si>
    <t>4937 VETERANS DRIVE</t>
  </si>
  <si>
    <t>401 S 1ST ST</t>
  </si>
  <si>
    <t>DONNA</t>
  </si>
  <si>
    <t>11526  FAIRMONT</t>
  </si>
  <si>
    <t>244 RESACA BLVD</t>
  </si>
  <si>
    <t>2112 HURD DRIVE, STE B</t>
  </si>
  <si>
    <t>IRVING</t>
  </si>
  <si>
    <t>17406 BAMWOOD ROAD</t>
  </si>
  <si>
    <t>5400  GRIGGS  RD</t>
  </si>
  <si>
    <t>4434 ROLAND AVENUE</t>
  </si>
  <si>
    <t>3737 ROOSEVELT ST</t>
  </si>
  <si>
    <t>100 SOUTH FULTON</t>
  </si>
  <si>
    <t>5310 SOUTHLEA</t>
  </si>
  <si>
    <t>2601 FM 2919</t>
  </si>
  <si>
    <t>KENDLETON</t>
  </si>
  <si>
    <t>1009 BARNETT ST</t>
  </si>
  <si>
    <t>KERRVILLE</t>
  </si>
  <si>
    <t>10711 KIPP WAY</t>
  </si>
  <si>
    <t>2410 EAST RIVERSIDE DRIVE</t>
  </si>
  <si>
    <t>101 FIFTH STREET</t>
  </si>
  <si>
    <t>KOPPERL</t>
  </si>
  <si>
    <t>10912 S POST OAK</t>
  </si>
  <si>
    <t>13663 MAIN STREET</t>
  </si>
  <si>
    <t>HIGHWAY 303</t>
  </si>
  <si>
    <t>LOOP</t>
  </si>
  <si>
    <t>800 S LIGHTFOOT ST</t>
  </si>
  <si>
    <t>LORAINE</t>
  </si>
  <si>
    <t>RR 1 BOX 1A</t>
  </si>
  <si>
    <t>500 HOUSTON ST.</t>
  </si>
  <si>
    <t>ARLINGTON</t>
  </si>
  <si>
    <t>1897 MEYERSVILLE RD</t>
  </si>
  <si>
    <t>MEYERSVILLE</t>
  </si>
  <si>
    <t>1120 GLENDALE LANE</t>
  </si>
  <si>
    <t>NASHVILLE</t>
  </si>
  <si>
    <t>FARM MARKET RD 1189 &amp; HWY 281</t>
  </si>
  <si>
    <t>MORGAN MILL</t>
  </si>
  <si>
    <t>5950 KELLY DR</t>
  </si>
  <si>
    <t>BEAUMONT</t>
  </si>
  <si>
    <t>4018 SOUTH PRESA STREET</t>
  </si>
  <si>
    <t>4705 LYONS AVE</t>
  </si>
  <si>
    <t>8006 WILEYVALE</t>
  </si>
  <si>
    <t>2821 LANSING BLVD</t>
  </si>
  <si>
    <t>NURSERY DRIVE</t>
  </si>
  <si>
    <t>NURSERY</t>
  </si>
  <si>
    <t>5900 W PIONEER PKWY</t>
  </si>
  <si>
    <t>2405 NAVIGATION BLVD</t>
  </si>
  <si>
    <t>314 MERIDA ST</t>
  </si>
  <si>
    <t>301 S SAN ANTONIO</t>
  </si>
  <si>
    <t>PORT LAVACA</t>
  </si>
  <si>
    <t>RR 2 BOX 190</t>
  </si>
  <si>
    <t>HASKELL</t>
  </si>
  <si>
    <t>JCT. HWY 673&amp;798</t>
  </si>
  <si>
    <t>PAWNEE</t>
  </si>
  <si>
    <t>202 N MAIN STREET</t>
  </si>
  <si>
    <t>PENELOPE</t>
  </si>
  <si>
    <t>P.O. BOX 394, HIGHWAY 303</t>
  </si>
  <si>
    <t>PEP</t>
  </si>
  <si>
    <t>1305 BENSON</t>
  </si>
  <si>
    <t>4422 BALKIN</t>
  </si>
  <si>
    <t>HC 1 BOX 8</t>
  </si>
  <si>
    <t>REALITOS</t>
  </si>
  <si>
    <t>2950 BROADWAY</t>
  </si>
  <si>
    <t>3230 TRAVIS COUNTRY CIRCLE</t>
  </si>
  <si>
    <t>ROUTE 3, BOX 337</t>
  </si>
  <si>
    <t>LOS FRESNOS</t>
  </si>
  <si>
    <t>2300 WILLOWICK RD</t>
  </si>
  <si>
    <t>FOURTH AND MAIN STREETS</t>
  </si>
  <si>
    <t>ROCHESTER</t>
  </si>
  <si>
    <t>RANCH &amp; ELLINGTON</t>
  </si>
  <si>
    <t>ROPESVILLE</t>
  </si>
  <si>
    <t>111 N CHURCH ST</t>
  </si>
  <si>
    <t>ROCKPORT</t>
  </si>
  <si>
    <t>RR 1 BOX 127</t>
  </si>
  <si>
    <t>IVANHOE</t>
  </si>
  <si>
    <t>308 S RIDGELAND</t>
  </si>
  <si>
    <t>FRITCH</t>
  </si>
  <si>
    <t>802 OBLATE</t>
  </si>
  <si>
    <t>5703 BLANCO RD</t>
  </si>
  <si>
    <t>14493 SPID SUITE 307A</t>
  </si>
  <si>
    <t>CORPUS CHRISTI</t>
  </si>
  <si>
    <t>100 S ILLINOIS ST</t>
  </si>
  <si>
    <t>SHAMROCK</t>
  </si>
  <si>
    <t>HC 51 BOX 1512</t>
  </si>
  <si>
    <t>GAINESVILLE</t>
  </si>
  <si>
    <t>4TH AND LINCOLN ST</t>
  </si>
  <si>
    <t>SMYER</t>
  </si>
  <si>
    <t>1248 AUSTIN HWY # 220</t>
  </si>
  <si>
    <t>FARM ROAD 2901</t>
  </si>
  <si>
    <t>EARTH</t>
  </si>
  <si>
    <t>850 FORSYTHE ST</t>
  </si>
  <si>
    <t>635 BONHAM ST</t>
  </si>
  <si>
    <t>COLUMBUS</t>
  </si>
  <si>
    <t>205 W HUISACHE AVE</t>
  </si>
  <si>
    <t>1015 E HARRISON ST</t>
  </si>
  <si>
    <t>5500 LAUREL CREEK WAY</t>
  </si>
  <si>
    <t>635 MARY CLIFF ROAD</t>
  </si>
  <si>
    <t>8100 ROOS RD</t>
  </si>
  <si>
    <t>5100 DABNEY ST</t>
  </si>
  <si>
    <t>521 S NEW BRAUNFELS AVE</t>
  </si>
  <si>
    <t>2213 OLD ALVIN ROAD</t>
  </si>
  <si>
    <t>PEARLAND</t>
  </si>
  <si>
    <t>1147 CUPPLES RD</t>
  </si>
  <si>
    <t>1811 CAROLINA ST</t>
  </si>
  <si>
    <t>BAYTOWN</t>
  </si>
  <si>
    <t>4118 S BONHAM ST</t>
  </si>
  <si>
    <t>AMARILLO</t>
  </si>
  <si>
    <t>119 OCTAVIA PL</t>
  </si>
  <si>
    <t>610 MADRID ST</t>
  </si>
  <si>
    <t>CASTROVILLE</t>
  </si>
  <si>
    <t>1700 CLOWER</t>
  </si>
  <si>
    <t>410 NORTH TYLER</t>
  </si>
  <si>
    <t>BEEVILLE</t>
  </si>
  <si>
    <t>10703 WURZBACH RD</t>
  </si>
  <si>
    <t>112 MARCIA PL</t>
  </si>
  <si>
    <t>7508 FM531</t>
  </si>
  <si>
    <t>SWEET HOME</t>
  </si>
  <si>
    <t>FARM RD 163</t>
  </si>
  <si>
    <t>CLEVELAND</t>
  </si>
  <si>
    <t>116 WEST 5TH STREET</t>
  </si>
  <si>
    <t>WESLACO</t>
  </si>
  <si>
    <t>715 VALLEY STREET</t>
  </si>
  <si>
    <t>SAN MARCOS</t>
  </si>
  <si>
    <t>8509 FM 969</t>
  </si>
  <si>
    <t>302 PINE STREET</t>
  </si>
  <si>
    <t>TEXLINE</t>
  </si>
  <si>
    <t>1414 WEST SAN ANTONIO STREET</t>
  </si>
  <si>
    <t>NEW BRAUNFELS</t>
  </si>
  <si>
    <t>215 SOUTH MESQUITE</t>
  </si>
  <si>
    <t>TOLAR</t>
  </si>
  <si>
    <t>1400 EAST AVENUE B</t>
  </si>
  <si>
    <t>TEMPLE</t>
  </si>
  <si>
    <t>807 NORTH 8TH STREET</t>
  </si>
  <si>
    <t>KILLEEN</t>
  </si>
  <si>
    <t>HIGHWAY 19 SOUTH</t>
  </si>
  <si>
    <t>TRINITY</t>
  </si>
  <si>
    <t>12121 VETERANS MEMORIAL DR.39</t>
  </si>
  <si>
    <t>400 S I ROAD</t>
  </si>
  <si>
    <t>PHARR</t>
  </si>
  <si>
    <t>BOX 190</t>
  </si>
  <si>
    <t>VEGA</t>
  </si>
  <si>
    <t>595 COUNTY RD 182</t>
  </si>
  <si>
    <t>47 COUNTY RD 198</t>
  </si>
  <si>
    <t>5TH &amp; TERRY</t>
  </si>
  <si>
    <t>WELLMAN</t>
  </si>
  <si>
    <t>244 LYNCH AVE</t>
  </si>
  <si>
    <t>WESTHOFF</t>
  </si>
  <si>
    <t>RR 2 BOX 58D</t>
  </si>
  <si>
    <t>LOTT</t>
  </si>
  <si>
    <t>209 S ROGERS ROAD</t>
  </si>
  <si>
    <t>506 LOCKWOOD</t>
  </si>
  <si>
    <t>RICHARDSON</t>
  </si>
  <si>
    <t>Rental</t>
  </si>
  <si>
    <t>1104 COUNTRY LANE</t>
  </si>
  <si>
    <t>MARION</t>
  </si>
  <si>
    <t>5807 CALHOUN ROAD</t>
  </si>
  <si>
    <t>5614 H. MARK CROSSWELL</t>
  </si>
  <si>
    <t>3333 BERING DR., STE. 200</t>
  </si>
  <si>
    <t>1809 LOUISIANNA</t>
  </si>
  <si>
    <t>6701 CULLEN BLVD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</si>
</sst>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6"/>
  <sheetViews>
    <sheetView tabSelected="1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389980</v>
      </c>
      <c r="B2">
        <v>1069116</v>
      </c>
      <c r="C2" t="str">
        <f>"A.W. BROWN FELLOWSHIP CHARTER SCHOOL"</f>
        <v>A.W. BROWN FELLOWSHIP CHARTER SCHOOL</v>
      </c>
      <c r="D2" t="s">
        <v>11</v>
      </c>
      <c r="E2" t="s">
        <v>12</v>
      </c>
      <c r="F2" t="s">
        <v>13</v>
      </c>
      <c r="G2">
        <v>75237</v>
      </c>
      <c r="H2">
        <v>2004</v>
      </c>
      <c r="I2" s="1">
        <v>4860</v>
      </c>
      <c r="J2" s="1">
        <v>7200</v>
      </c>
    </row>
    <row r="3" spans="1:11" x14ac:dyDescent="0.35">
      <c r="A3">
        <v>412810</v>
      </c>
      <c r="B3">
        <v>1132848</v>
      </c>
      <c r="C3" t="str">
        <f>"AARON PARKER ELEMENTARY SCHOOL"</f>
        <v>AARON PARKER ELEMENTARY SCHOOL</v>
      </c>
      <c r="D3" t="s">
        <v>11</v>
      </c>
      <c r="E3" t="s">
        <v>14</v>
      </c>
      <c r="F3" t="s">
        <v>15</v>
      </c>
      <c r="G3">
        <v>75473</v>
      </c>
      <c r="H3">
        <v>2004</v>
      </c>
      <c r="I3" s="1">
        <v>3600</v>
      </c>
      <c r="J3" s="1">
        <v>4500</v>
      </c>
      <c r="K3" s="1">
        <v>2804.34</v>
      </c>
    </row>
    <row r="4" spans="1:11" x14ac:dyDescent="0.35">
      <c r="A4">
        <v>399593</v>
      </c>
      <c r="B4">
        <v>1123618</v>
      </c>
      <c r="C4" t="str">
        <f>"ABBOTT INDEP SCHOOL DISTRICT"</f>
        <v>ABBOTT INDEP SCHOOL DISTRICT</v>
      </c>
      <c r="D4" t="s">
        <v>11</v>
      </c>
      <c r="E4" t="s">
        <v>16</v>
      </c>
      <c r="F4" t="s">
        <v>17</v>
      </c>
      <c r="G4">
        <v>76621</v>
      </c>
      <c r="H4">
        <v>2004</v>
      </c>
      <c r="I4" s="1">
        <v>7416</v>
      </c>
      <c r="J4" s="1">
        <v>12360</v>
      </c>
      <c r="K4" s="1">
        <v>7272</v>
      </c>
    </row>
    <row r="5" spans="1:11" x14ac:dyDescent="0.35">
      <c r="A5">
        <v>416847</v>
      </c>
      <c r="B5">
        <v>1153851</v>
      </c>
      <c r="C5" t="str">
        <f>"ACADEMY OF CAREERS AND TECHNOLOGIES"</f>
        <v>ACADEMY OF CAREERS AND TECHNOLOGIES</v>
      </c>
      <c r="D5" t="s">
        <v>11</v>
      </c>
      <c r="E5" t="s">
        <v>18</v>
      </c>
      <c r="F5" t="s">
        <v>19</v>
      </c>
      <c r="G5">
        <v>78210</v>
      </c>
      <c r="H5">
        <v>2004</v>
      </c>
      <c r="I5" s="1">
        <v>313.2</v>
      </c>
      <c r="J5" s="1">
        <v>348</v>
      </c>
      <c r="K5" s="1">
        <v>265.5</v>
      </c>
    </row>
    <row r="6" spans="1:11" x14ac:dyDescent="0.35">
      <c r="A6">
        <v>408441</v>
      </c>
      <c r="B6">
        <v>1170068</v>
      </c>
      <c r="C6" t="str">
        <f>"ACCELERATED INTERMEDIATE ACADEMY"</f>
        <v>ACCELERATED INTERMEDIATE ACADEMY</v>
      </c>
      <c r="D6" t="s">
        <v>11</v>
      </c>
      <c r="E6" t="s">
        <v>20</v>
      </c>
      <c r="F6" t="s">
        <v>21</v>
      </c>
      <c r="G6">
        <v>77056</v>
      </c>
      <c r="H6">
        <v>2004</v>
      </c>
      <c r="I6" s="1">
        <v>1728</v>
      </c>
      <c r="J6" s="1">
        <v>1920</v>
      </c>
      <c r="K6" s="1">
        <v>1440.08</v>
      </c>
    </row>
    <row r="7" spans="1:11" x14ac:dyDescent="0.35">
      <c r="A7">
        <v>424747</v>
      </c>
      <c r="B7">
        <v>1179714</v>
      </c>
      <c r="C7" t="str">
        <f>"ADRIAN INDEP SCHOOL DISTRICT"</f>
        <v>ADRIAN INDEP SCHOOL DISTRICT</v>
      </c>
      <c r="D7" t="s">
        <v>11</v>
      </c>
      <c r="E7" t="s">
        <v>22</v>
      </c>
      <c r="F7" t="s">
        <v>23</v>
      </c>
      <c r="G7">
        <v>79001</v>
      </c>
      <c r="H7">
        <v>2004</v>
      </c>
      <c r="I7" s="1">
        <v>0</v>
      </c>
      <c r="J7" s="1">
        <v>0</v>
      </c>
    </row>
    <row r="8" spans="1:11" x14ac:dyDescent="0.35">
      <c r="A8">
        <v>412260</v>
      </c>
      <c r="B8">
        <v>1131162</v>
      </c>
      <c r="C8" t="str">
        <f>"ALKEK ELEMENTARY SCHOOL"</f>
        <v>ALKEK ELEMENTARY SCHOOL</v>
      </c>
      <c r="D8" t="s">
        <v>11</v>
      </c>
      <c r="E8" t="s">
        <v>24</v>
      </c>
      <c r="F8" t="s">
        <v>25</v>
      </c>
      <c r="G8">
        <v>78003</v>
      </c>
      <c r="H8">
        <v>2004</v>
      </c>
      <c r="I8" s="1">
        <v>2880</v>
      </c>
      <c r="J8" s="1">
        <v>3600</v>
      </c>
    </row>
    <row r="9" spans="1:11" x14ac:dyDescent="0.35">
      <c r="A9">
        <v>412260</v>
      </c>
      <c r="B9">
        <v>1131154</v>
      </c>
      <c r="C9" t="str">
        <f>"ALKEK ELEMENTARY SCHOOL"</f>
        <v>ALKEK ELEMENTARY SCHOOL</v>
      </c>
      <c r="D9" t="s">
        <v>11</v>
      </c>
      <c r="E9" t="s">
        <v>24</v>
      </c>
      <c r="F9" t="s">
        <v>25</v>
      </c>
      <c r="G9">
        <v>78003</v>
      </c>
      <c r="H9">
        <v>2004</v>
      </c>
      <c r="I9" s="1">
        <v>1084.8</v>
      </c>
      <c r="J9" s="1">
        <v>1356</v>
      </c>
    </row>
    <row r="10" spans="1:11" x14ac:dyDescent="0.35">
      <c r="A10">
        <v>424011</v>
      </c>
      <c r="B10">
        <v>1171373</v>
      </c>
      <c r="C10" t="str">
        <f>"ALL SAINTS SCHOOL"</f>
        <v>ALL SAINTS SCHOOL</v>
      </c>
      <c r="D10" t="s">
        <v>11</v>
      </c>
      <c r="E10" t="s">
        <v>26</v>
      </c>
      <c r="F10" t="s">
        <v>27</v>
      </c>
      <c r="G10">
        <v>79423</v>
      </c>
      <c r="H10">
        <v>2004</v>
      </c>
      <c r="I10" s="1">
        <v>420</v>
      </c>
      <c r="J10" s="1">
        <v>2100</v>
      </c>
    </row>
    <row r="11" spans="1:11" x14ac:dyDescent="0.35">
      <c r="A11">
        <v>400588</v>
      </c>
      <c r="B11">
        <v>1130719</v>
      </c>
      <c r="C11" t="str">
        <f>"AMIGO POR VIDA-FRIENDS FOR LIFE CHARTER SCHOOL"</f>
        <v>AMIGO POR VIDA-FRIENDS FOR LIFE CHARTER SCHOOL</v>
      </c>
      <c r="D11" t="s">
        <v>11</v>
      </c>
      <c r="E11" t="s">
        <v>28</v>
      </c>
      <c r="F11" t="s">
        <v>21</v>
      </c>
      <c r="G11">
        <v>77081</v>
      </c>
      <c r="H11">
        <v>2004</v>
      </c>
      <c r="I11" s="1">
        <v>1282.5</v>
      </c>
      <c r="J11" s="1">
        <v>1425</v>
      </c>
    </row>
    <row r="12" spans="1:11" x14ac:dyDescent="0.35">
      <c r="A12">
        <v>400588</v>
      </c>
      <c r="B12">
        <v>1130682</v>
      </c>
      <c r="C12" t="str">
        <f>"AMIGO POR VIDA-FRIENDS FOR LIFE CHARTER SCHOOL"</f>
        <v>AMIGO POR VIDA-FRIENDS FOR LIFE CHARTER SCHOOL</v>
      </c>
      <c r="D12" t="s">
        <v>11</v>
      </c>
      <c r="E12" t="s">
        <v>28</v>
      </c>
      <c r="F12" t="s">
        <v>21</v>
      </c>
      <c r="G12">
        <v>77081</v>
      </c>
      <c r="H12">
        <v>2004</v>
      </c>
      <c r="I12" s="1">
        <v>9999.7199999999993</v>
      </c>
      <c r="J12" s="1">
        <v>11110.8</v>
      </c>
      <c r="K12" s="1">
        <v>5247.31</v>
      </c>
    </row>
    <row r="13" spans="1:11" x14ac:dyDescent="0.35">
      <c r="A13">
        <v>400588</v>
      </c>
      <c r="B13">
        <v>1130721</v>
      </c>
      <c r="C13" t="str">
        <f>"AMIGO POR VIDA-FRIENDS FOR LIFE CHARTER SCHOOL"</f>
        <v>AMIGO POR VIDA-FRIENDS FOR LIFE CHARTER SCHOOL</v>
      </c>
      <c r="D13" t="s">
        <v>11</v>
      </c>
      <c r="E13" t="s">
        <v>28</v>
      </c>
      <c r="F13" t="s">
        <v>21</v>
      </c>
      <c r="G13">
        <v>77081</v>
      </c>
      <c r="H13">
        <v>2004</v>
      </c>
      <c r="I13" s="1">
        <v>2736</v>
      </c>
      <c r="J13" s="1">
        <v>3040</v>
      </c>
      <c r="K13" s="1">
        <v>1624.5</v>
      </c>
    </row>
    <row r="14" spans="1:11" x14ac:dyDescent="0.35">
      <c r="A14">
        <v>433035</v>
      </c>
      <c r="B14">
        <v>1205844</v>
      </c>
      <c r="C14" t="str">
        <f>"ARGYLE INDEP SCHOOL DISTRICT"</f>
        <v>ARGYLE INDEP SCHOOL DISTRICT</v>
      </c>
      <c r="D14" t="s">
        <v>11</v>
      </c>
      <c r="E14" t="s">
        <v>29</v>
      </c>
      <c r="F14" t="s">
        <v>30</v>
      </c>
      <c r="G14">
        <v>76226</v>
      </c>
      <c r="H14">
        <v>2004</v>
      </c>
      <c r="I14" s="1">
        <v>0</v>
      </c>
      <c r="J14" s="1">
        <v>0</v>
      </c>
    </row>
    <row r="15" spans="1:11" x14ac:dyDescent="0.35">
      <c r="A15">
        <v>419929</v>
      </c>
      <c r="B15">
        <v>1161969</v>
      </c>
      <c r="C15" t="str">
        <f>"AUDRE &amp; BERNARD RAPOPORT ACADEMY"</f>
        <v>AUDRE &amp; BERNARD RAPOPORT ACADEMY</v>
      </c>
      <c r="D15" t="s">
        <v>11</v>
      </c>
      <c r="E15" t="s">
        <v>31</v>
      </c>
      <c r="F15" t="s">
        <v>32</v>
      </c>
      <c r="G15">
        <v>76704</v>
      </c>
      <c r="H15">
        <v>2004</v>
      </c>
      <c r="I15" s="1">
        <v>7830</v>
      </c>
      <c r="J15" s="1">
        <v>8700</v>
      </c>
      <c r="K15" s="1">
        <v>7830</v>
      </c>
    </row>
    <row r="16" spans="1:11" x14ac:dyDescent="0.35">
      <c r="A16">
        <v>402387</v>
      </c>
      <c r="B16">
        <v>1101007</v>
      </c>
      <c r="C16" t="str">
        <f>"BANNEKER MCNAIR ACADEMY"</f>
        <v>BANNEKER MCNAIR ACADEMY</v>
      </c>
      <c r="D16" t="s">
        <v>11</v>
      </c>
      <c r="E16" t="s">
        <v>33</v>
      </c>
      <c r="F16" t="s">
        <v>21</v>
      </c>
      <c r="G16">
        <v>77021</v>
      </c>
      <c r="H16">
        <v>2004</v>
      </c>
      <c r="I16" s="1">
        <v>2900.99</v>
      </c>
      <c r="J16" s="1">
        <v>3223.32</v>
      </c>
    </row>
    <row r="17" spans="1:11" x14ac:dyDescent="0.35">
      <c r="A17">
        <v>400459</v>
      </c>
      <c r="B17">
        <v>1095007</v>
      </c>
      <c r="C17" t="str">
        <f>"BENJAMIN INDEP SCHOOL DISTRICT"</f>
        <v>BENJAMIN INDEP SCHOOL DISTRICT</v>
      </c>
      <c r="D17" t="s">
        <v>11</v>
      </c>
      <c r="E17" t="s">
        <v>34</v>
      </c>
      <c r="F17" t="s">
        <v>35</v>
      </c>
      <c r="G17">
        <v>79505</v>
      </c>
      <c r="H17">
        <v>2004</v>
      </c>
      <c r="I17" s="1">
        <v>4320</v>
      </c>
      <c r="J17" s="1">
        <v>5400</v>
      </c>
      <c r="K17" s="1">
        <v>4320</v>
      </c>
    </row>
    <row r="18" spans="1:11" x14ac:dyDescent="0.35">
      <c r="A18">
        <v>402760</v>
      </c>
      <c r="B18">
        <v>1102169</v>
      </c>
      <c r="C18" t="str">
        <f>"BISHOP DUNNE HIGH SCHOOL"</f>
        <v>BISHOP DUNNE HIGH SCHOOL</v>
      </c>
      <c r="D18" t="s">
        <v>11</v>
      </c>
      <c r="E18" t="s">
        <v>36</v>
      </c>
      <c r="F18" t="s">
        <v>13</v>
      </c>
      <c r="G18">
        <v>75224</v>
      </c>
      <c r="H18">
        <v>2004</v>
      </c>
      <c r="I18" s="1">
        <v>3360</v>
      </c>
      <c r="J18" s="1">
        <v>8400</v>
      </c>
      <c r="K18" s="1">
        <v>3238.67</v>
      </c>
    </row>
    <row r="19" spans="1:11" x14ac:dyDescent="0.35">
      <c r="A19">
        <v>394027</v>
      </c>
      <c r="B19">
        <v>1203937</v>
      </c>
      <c r="C19" t="str">
        <f>"BLESSED SACRAMENT SCHOOL"</f>
        <v>BLESSED SACRAMENT SCHOOL</v>
      </c>
      <c r="D19" t="s">
        <v>11</v>
      </c>
      <c r="E19" t="s">
        <v>37</v>
      </c>
      <c r="F19" t="s">
        <v>38</v>
      </c>
      <c r="G19">
        <v>79904</v>
      </c>
      <c r="H19">
        <v>2004</v>
      </c>
      <c r="I19" s="1">
        <v>2484</v>
      </c>
      <c r="J19" s="1">
        <v>2760</v>
      </c>
      <c r="K19" s="1">
        <v>0</v>
      </c>
    </row>
    <row r="20" spans="1:11" x14ac:dyDescent="0.35">
      <c r="A20">
        <v>392843</v>
      </c>
      <c r="B20">
        <v>1075829</v>
      </c>
      <c r="C20" t="str">
        <f>"BRAZOS RIVER CHARTER SCHOOL"</f>
        <v>BRAZOS RIVER CHARTER SCHOOL</v>
      </c>
      <c r="D20" t="s">
        <v>11</v>
      </c>
      <c r="E20" t="s">
        <v>39</v>
      </c>
      <c r="F20" t="s">
        <v>40</v>
      </c>
      <c r="G20">
        <v>76070</v>
      </c>
      <c r="H20">
        <v>2004</v>
      </c>
      <c r="I20" s="1">
        <v>10920</v>
      </c>
      <c r="J20" s="1">
        <v>15600</v>
      </c>
      <c r="K20" s="1">
        <v>10663.91</v>
      </c>
    </row>
    <row r="21" spans="1:11" x14ac:dyDescent="0.35">
      <c r="A21">
        <v>397185</v>
      </c>
      <c r="B21">
        <v>1085802</v>
      </c>
      <c r="C21" t="str">
        <f>"BRIGHT IDEAS SCHOOL"</f>
        <v>BRIGHT IDEAS SCHOOL</v>
      </c>
      <c r="D21" t="s">
        <v>11</v>
      </c>
      <c r="E21" t="s">
        <v>41</v>
      </c>
      <c r="F21" t="s">
        <v>42</v>
      </c>
      <c r="G21">
        <v>76302</v>
      </c>
      <c r="H21">
        <v>2004</v>
      </c>
      <c r="I21" s="1">
        <v>4320</v>
      </c>
      <c r="J21" s="1">
        <v>5400</v>
      </c>
      <c r="K21" s="1">
        <v>4320</v>
      </c>
    </row>
    <row r="22" spans="1:11" x14ac:dyDescent="0.35">
      <c r="A22">
        <v>413829</v>
      </c>
      <c r="B22">
        <v>1136830</v>
      </c>
      <c r="C22" t="str">
        <f>"BULLARD INDEP SCHOOL DISTRICT"</f>
        <v>BULLARD INDEP SCHOOL DISTRICT</v>
      </c>
      <c r="D22" t="s">
        <v>11</v>
      </c>
      <c r="E22" t="s">
        <v>43</v>
      </c>
      <c r="F22" t="s">
        <v>44</v>
      </c>
      <c r="G22">
        <v>75757</v>
      </c>
      <c r="H22">
        <v>2004</v>
      </c>
      <c r="I22" s="1">
        <v>6300.76</v>
      </c>
      <c r="J22" s="1">
        <v>11455.92</v>
      </c>
      <c r="K22" s="1">
        <v>6300.72</v>
      </c>
    </row>
    <row r="23" spans="1:11" x14ac:dyDescent="0.35">
      <c r="A23">
        <v>425263</v>
      </c>
      <c r="B23">
        <v>1175866</v>
      </c>
      <c r="C23" t="str">
        <f>"CAMERON INDEP SCHOOL DISTRICT"</f>
        <v>CAMERON INDEP SCHOOL DISTRICT</v>
      </c>
      <c r="D23" t="s">
        <v>11</v>
      </c>
      <c r="E23" t="s">
        <v>45</v>
      </c>
      <c r="F23" t="s">
        <v>46</v>
      </c>
      <c r="G23">
        <v>76520</v>
      </c>
      <c r="H23">
        <v>2004</v>
      </c>
      <c r="I23" s="1">
        <v>0</v>
      </c>
      <c r="J23" s="1">
        <v>0</v>
      </c>
    </row>
    <row r="24" spans="1:11" x14ac:dyDescent="0.35">
      <c r="A24">
        <v>400765</v>
      </c>
      <c r="B24">
        <v>1095717</v>
      </c>
      <c r="C24" t="str">
        <f>"CASA EL PASO"</f>
        <v>CASA EL PASO</v>
      </c>
      <c r="D24" t="s">
        <v>11</v>
      </c>
      <c r="E24" t="s">
        <v>47</v>
      </c>
      <c r="F24" t="s">
        <v>38</v>
      </c>
      <c r="G24">
        <v>79901</v>
      </c>
      <c r="H24">
        <v>2004</v>
      </c>
      <c r="I24" s="1">
        <v>0</v>
      </c>
      <c r="J24" s="1">
        <v>0</v>
      </c>
    </row>
    <row r="25" spans="1:11" x14ac:dyDescent="0.35">
      <c r="A25">
        <v>403634</v>
      </c>
      <c r="B25">
        <v>1105005</v>
      </c>
      <c r="C25" t="str">
        <f>"CASA ESPERANZA"</f>
        <v>CASA ESPERANZA</v>
      </c>
      <c r="D25" t="s">
        <v>11</v>
      </c>
      <c r="E25" t="s">
        <v>48</v>
      </c>
      <c r="F25" t="s">
        <v>21</v>
      </c>
      <c r="G25">
        <v>77028</v>
      </c>
      <c r="H25">
        <v>2004</v>
      </c>
      <c r="I25" s="1">
        <v>0</v>
      </c>
      <c r="J25" s="1">
        <v>0</v>
      </c>
    </row>
    <row r="26" spans="1:11" x14ac:dyDescent="0.35">
      <c r="A26">
        <v>430513</v>
      </c>
      <c r="B26">
        <v>1195048</v>
      </c>
      <c r="C26" t="str">
        <f>"CASTLE HILLS FIRST BAPT SCHOOL"</f>
        <v>CASTLE HILLS FIRST BAPT SCHOOL</v>
      </c>
      <c r="D26" t="s">
        <v>11</v>
      </c>
      <c r="E26" t="s">
        <v>49</v>
      </c>
      <c r="F26" t="s">
        <v>19</v>
      </c>
      <c r="G26">
        <v>78213</v>
      </c>
      <c r="H26">
        <v>2004</v>
      </c>
      <c r="I26" s="1">
        <v>1511.95</v>
      </c>
      <c r="J26" s="1">
        <v>3779.88</v>
      </c>
      <c r="K26" s="1">
        <v>1447.95</v>
      </c>
    </row>
    <row r="27" spans="1:11" x14ac:dyDescent="0.35">
      <c r="A27">
        <v>399600</v>
      </c>
      <c r="B27">
        <v>1092801</v>
      </c>
      <c r="C27" t="str">
        <f>"CASTLEBERRY INDEP SCH DISTRICT"</f>
        <v>CASTLEBERRY INDEP SCH DISTRICT</v>
      </c>
      <c r="D27" t="s">
        <v>11</v>
      </c>
      <c r="E27" t="s">
        <v>50</v>
      </c>
      <c r="F27" t="s">
        <v>51</v>
      </c>
      <c r="G27">
        <v>76114</v>
      </c>
      <c r="H27">
        <v>2004</v>
      </c>
      <c r="I27" s="1">
        <v>13608</v>
      </c>
      <c r="J27" s="1">
        <v>16800</v>
      </c>
      <c r="K27" s="1">
        <v>6804</v>
      </c>
    </row>
    <row r="28" spans="1:11" x14ac:dyDescent="0.35">
      <c r="A28">
        <v>397212</v>
      </c>
      <c r="B28">
        <v>1085739</v>
      </c>
      <c r="C28" t="str">
        <f>"CEDAR  RIDGE CHARTER SCHOOL"</f>
        <v>CEDAR  RIDGE CHARTER SCHOOL</v>
      </c>
      <c r="D28" t="s">
        <v>11</v>
      </c>
      <c r="E28" t="s">
        <v>52</v>
      </c>
      <c r="F28" t="s">
        <v>53</v>
      </c>
      <c r="G28">
        <v>76853</v>
      </c>
      <c r="H28">
        <v>2004</v>
      </c>
      <c r="I28" s="1">
        <v>855</v>
      </c>
      <c r="J28" s="1">
        <v>950</v>
      </c>
      <c r="K28" s="1">
        <v>0</v>
      </c>
    </row>
    <row r="29" spans="1:11" x14ac:dyDescent="0.35">
      <c r="A29">
        <v>388845</v>
      </c>
      <c r="B29">
        <v>1069943</v>
      </c>
      <c r="C29" t="str">
        <f>"CEDAR  RIDGE CHARTER SCHOOL"</f>
        <v>CEDAR  RIDGE CHARTER SCHOOL</v>
      </c>
      <c r="D29" t="s">
        <v>11</v>
      </c>
      <c r="E29" t="s">
        <v>52</v>
      </c>
      <c r="F29" t="s">
        <v>53</v>
      </c>
      <c r="G29">
        <v>76853</v>
      </c>
      <c r="H29">
        <v>2004</v>
      </c>
      <c r="I29" s="1">
        <v>12679.2</v>
      </c>
      <c r="J29" s="1">
        <v>14088</v>
      </c>
    </row>
    <row r="30" spans="1:11" x14ac:dyDescent="0.35">
      <c r="A30">
        <v>397212</v>
      </c>
      <c r="B30">
        <v>1085748</v>
      </c>
      <c r="C30" t="str">
        <f>"CEDAR  RIDGE CHARTER SCHOOL"</f>
        <v>CEDAR  RIDGE CHARTER SCHOOL</v>
      </c>
      <c r="D30" t="s">
        <v>11</v>
      </c>
      <c r="E30" t="s">
        <v>52</v>
      </c>
      <c r="F30" t="s">
        <v>53</v>
      </c>
      <c r="G30">
        <v>76853</v>
      </c>
      <c r="H30">
        <v>2004</v>
      </c>
      <c r="I30" s="1">
        <v>378</v>
      </c>
      <c r="J30" s="1">
        <v>420</v>
      </c>
      <c r="K30" s="1">
        <v>0</v>
      </c>
    </row>
    <row r="31" spans="1:11" x14ac:dyDescent="0.35">
      <c r="A31">
        <v>413471</v>
      </c>
      <c r="B31">
        <v>1135284</v>
      </c>
      <c r="C31" t="str">
        <f>"CENTRAL CATHOLIC HIGH SCHOOL"</f>
        <v>CENTRAL CATHOLIC HIGH SCHOOL</v>
      </c>
      <c r="D31" t="s">
        <v>11</v>
      </c>
      <c r="E31" t="s">
        <v>54</v>
      </c>
      <c r="F31" t="s">
        <v>19</v>
      </c>
      <c r="G31">
        <v>78215</v>
      </c>
      <c r="H31">
        <v>2004</v>
      </c>
      <c r="I31" s="1">
        <v>2880</v>
      </c>
      <c r="J31" s="1">
        <v>7200</v>
      </c>
      <c r="K31" s="1">
        <v>2880</v>
      </c>
    </row>
    <row r="32" spans="1:11" x14ac:dyDescent="0.35">
      <c r="A32">
        <v>406125</v>
      </c>
      <c r="B32">
        <v>1129395</v>
      </c>
      <c r="C32" t="str">
        <f>"CHILDREN FIRST ELEMENTARY ACADEMY OF DALLAS"</f>
        <v>CHILDREN FIRST ELEMENTARY ACADEMY OF DALLAS</v>
      </c>
      <c r="D32" t="s">
        <v>11</v>
      </c>
      <c r="E32" t="s">
        <v>55</v>
      </c>
      <c r="F32" t="s">
        <v>13</v>
      </c>
      <c r="G32">
        <v>75216</v>
      </c>
      <c r="H32">
        <v>2004</v>
      </c>
      <c r="I32" s="1">
        <v>216</v>
      </c>
      <c r="J32" s="1">
        <v>240</v>
      </c>
    </row>
    <row r="33" spans="1:11" x14ac:dyDescent="0.35">
      <c r="A33">
        <v>406125</v>
      </c>
      <c r="B33">
        <v>1129347</v>
      </c>
      <c r="C33" t="str">
        <f>"CHILDREN FIRST ELEMENTARY ACADEMY OF DALLAS"</f>
        <v>CHILDREN FIRST ELEMENTARY ACADEMY OF DALLAS</v>
      </c>
      <c r="D33" t="s">
        <v>11</v>
      </c>
      <c r="E33" t="s">
        <v>55</v>
      </c>
      <c r="F33" t="s">
        <v>13</v>
      </c>
      <c r="G33">
        <v>75216</v>
      </c>
      <c r="H33">
        <v>2004</v>
      </c>
      <c r="I33" s="1">
        <v>2008.8</v>
      </c>
      <c r="J33" s="1">
        <v>2232</v>
      </c>
    </row>
    <row r="34" spans="1:11" x14ac:dyDescent="0.35">
      <c r="A34">
        <v>406126</v>
      </c>
      <c r="B34">
        <v>1128461</v>
      </c>
      <c r="C34" t="str">
        <f>"CHILDREN FIRST ELEMENTARY ACADEMY OF HOUSTON"</f>
        <v>CHILDREN FIRST ELEMENTARY ACADEMY OF HOUSTON</v>
      </c>
      <c r="D34" t="s">
        <v>11</v>
      </c>
      <c r="E34" t="s">
        <v>56</v>
      </c>
      <c r="F34" t="s">
        <v>21</v>
      </c>
      <c r="G34">
        <v>77016</v>
      </c>
      <c r="H34">
        <v>2004</v>
      </c>
      <c r="I34" s="1">
        <v>2008.8</v>
      </c>
      <c r="J34" s="1">
        <v>2232</v>
      </c>
    </row>
    <row r="35" spans="1:11" x14ac:dyDescent="0.35">
      <c r="A35">
        <v>406126</v>
      </c>
      <c r="B35">
        <v>1128593</v>
      </c>
      <c r="C35" t="str">
        <f>"CHILDREN FIRST ELEMENTARY ACADEMY OF HOUSTON"</f>
        <v>CHILDREN FIRST ELEMENTARY ACADEMY OF HOUSTON</v>
      </c>
      <c r="D35" t="s">
        <v>11</v>
      </c>
      <c r="E35" t="s">
        <v>56</v>
      </c>
      <c r="F35" t="s">
        <v>21</v>
      </c>
      <c r="G35">
        <v>77016</v>
      </c>
      <c r="H35">
        <v>2004</v>
      </c>
      <c r="I35" s="1">
        <v>216</v>
      </c>
      <c r="J35" s="1">
        <v>240</v>
      </c>
    </row>
    <row r="36" spans="1:11" x14ac:dyDescent="0.35">
      <c r="A36">
        <v>420592</v>
      </c>
      <c r="B36">
        <v>1159254</v>
      </c>
      <c r="C36" t="str">
        <f>"CHOICES ALTERNATIVE SCHOOL"</f>
        <v>CHOICES ALTERNATIVE SCHOOL</v>
      </c>
      <c r="D36" t="s">
        <v>11</v>
      </c>
      <c r="E36" t="s">
        <v>57</v>
      </c>
      <c r="F36" t="s">
        <v>58</v>
      </c>
      <c r="G36">
        <v>79345</v>
      </c>
      <c r="H36">
        <v>2004</v>
      </c>
      <c r="I36" s="1">
        <v>864</v>
      </c>
      <c r="J36" s="1">
        <v>960</v>
      </c>
      <c r="K36" s="1">
        <v>648</v>
      </c>
    </row>
    <row r="37" spans="1:11" x14ac:dyDescent="0.35">
      <c r="A37">
        <v>420592</v>
      </c>
      <c r="B37">
        <v>1360151</v>
      </c>
      <c r="C37" t="str">
        <f>"CHOICES ALTERNATIVE SCHOOL"</f>
        <v>CHOICES ALTERNATIVE SCHOOL</v>
      </c>
      <c r="D37" t="s">
        <v>11</v>
      </c>
      <c r="E37" t="s">
        <v>57</v>
      </c>
      <c r="F37" t="s">
        <v>58</v>
      </c>
      <c r="G37">
        <v>79345</v>
      </c>
      <c r="H37">
        <v>2004</v>
      </c>
      <c r="I37" s="1">
        <v>131.97999999999999</v>
      </c>
      <c r="J37" s="1">
        <v>146.63999999999999</v>
      </c>
    </row>
    <row r="38" spans="1:11" x14ac:dyDescent="0.35">
      <c r="A38">
        <v>426780</v>
      </c>
      <c r="B38">
        <v>1182766</v>
      </c>
      <c r="C38" t="str">
        <f>"CITY SCHOOL"</f>
        <v>CITY SCHOOL</v>
      </c>
      <c r="D38" t="s">
        <v>11</v>
      </c>
      <c r="E38" t="s">
        <v>59</v>
      </c>
      <c r="F38" t="s">
        <v>60</v>
      </c>
      <c r="G38">
        <v>78741</v>
      </c>
      <c r="H38">
        <v>2004</v>
      </c>
      <c r="I38" s="1">
        <v>0</v>
      </c>
      <c r="J38" s="1">
        <v>0</v>
      </c>
    </row>
    <row r="39" spans="1:11" x14ac:dyDescent="0.35">
      <c r="A39">
        <v>415223</v>
      </c>
      <c r="B39">
        <v>1141154</v>
      </c>
      <c r="C39" t="str">
        <f>"CLIFTON INDEP SCHOOL DISTRICT"</f>
        <v>CLIFTON INDEP SCHOOL DISTRICT</v>
      </c>
      <c r="D39" t="s">
        <v>11</v>
      </c>
      <c r="E39" t="s">
        <v>61</v>
      </c>
      <c r="F39" t="s">
        <v>62</v>
      </c>
      <c r="G39">
        <v>76634</v>
      </c>
      <c r="H39">
        <v>2004</v>
      </c>
      <c r="I39" s="1">
        <v>2992.5</v>
      </c>
      <c r="J39" s="1">
        <v>4275</v>
      </c>
      <c r="K39" s="1">
        <v>0</v>
      </c>
    </row>
    <row r="40" spans="1:11" x14ac:dyDescent="0.35">
      <c r="A40">
        <v>432540</v>
      </c>
      <c r="B40">
        <v>1202998</v>
      </c>
      <c r="C40" t="str">
        <f>"COASTAL BEND YOUTH CITY"</f>
        <v>COASTAL BEND YOUTH CITY</v>
      </c>
      <c r="D40" t="s">
        <v>11</v>
      </c>
      <c r="E40" t="s">
        <v>63</v>
      </c>
      <c r="F40" t="s">
        <v>64</v>
      </c>
      <c r="G40">
        <v>78351</v>
      </c>
      <c r="H40">
        <v>2004</v>
      </c>
      <c r="I40" s="1">
        <v>0</v>
      </c>
      <c r="J40" s="1">
        <v>0</v>
      </c>
    </row>
    <row r="41" spans="1:11" x14ac:dyDescent="0.35">
      <c r="A41">
        <v>428540</v>
      </c>
      <c r="B41">
        <v>1188122</v>
      </c>
      <c r="C41" t="str">
        <f>"CROSS ROADS COMMUNITY EDUCATIONAL CENTER"</f>
        <v>CROSS ROADS COMMUNITY EDUCATIONAL CENTER</v>
      </c>
      <c r="D41" t="s">
        <v>11</v>
      </c>
      <c r="E41" t="s">
        <v>65</v>
      </c>
      <c r="F41" t="s">
        <v>21</v>
      </c>
      <c r="G41">
        <v>77087</v>
      </c>
      <c r="H41">
        <v>2004</v>
      </c>
      <c r="I41" s="1">
        <v>0</v>
      </c>
      <c r="J41" s="1">
        <v>0</v>
      </c>
    </row>
    <row r="42" spans="1:11" x14ac:dyDescent="0.35">
      <c r="A42">
        <v>430880</v>
      </c>
      <c r="B42">
        <v>1196549</v>
      </c>
      <c r="C42" t="str">
        <f>"DENVER CITY INDEP SCHOOL DIST"</f>
        <v>DENVER CITY INDEP SCHOOL DIST</v>
      </c>
      <c r="D42" t="s">
        <v>11</v>
      </c>
      <c r="E42" t="s">
        <v>66</v>
      </c>
      <c r="F42" t="s">
        <v>67</v>
      </c>
      <c r="G42">
        <v>79323</v>
      </c>
      <c r="H42">
        <v>2004</v>
      </c>
      <c r="I42" s="1">
        <v>0</v>
      </c>
      <c r="J42" s="1">
        <v>0</v>
      </c>
    </row>
    <row r="43" spans="1:11" x14ac:dyDescent="0.35">
      <c r="A43">
        <v>388100</v>
      </c>
      <c r="B43">
        <v>1085610</v>
      </c>
      <c r="C43" t="str">
        <f>"DEVINE INDEP SCHOOL DISTRICT"</f>
        <v>DEVINE INDEP SCHOOL DISTRICT</v>
      </c>
      <c r="D43" t="s">
        <v>11</v>
      </c>
      <c r="E43" t="s">
        <v>68</v>
      </c>
      <c r="F43" t="s">
        <v>69</v>
      </c>
      <c r="G43">
        <v>78016</v>
      </c>
      <c r="H43">
        <v>2004</v>
      </c>
      <c r="I43" s="1">
        <v>7650.72</v>
      </c>
      <c r="J43" s="1">
        <v>9936</v>
      </c>
      <c r="K43" s="1">
        <v>7650.72</v>
      </c>
    </row>
    <row r="44" spans="1:11" x14ac:dyDescent="0.35">
      <c r="A44">
        <v>396334</v>
      </c>
      <c r="B44">
        <v>1083633</v>
      </c>
      <c r="C44" t="str">
        <f>"DRAW ACADEMY"</f>
        <v>DRAW ACADEMY</v>
      </c>
      <c r="D44" t="s">
        <v>11</v>
      </c>
      <c r="E44" t="s">
        <v>70</v>
      </c>
      <c r="F44" t="s">
        <v>21</v>
      </c>
      <c r="G44">
        <v>77063</v>
      </c>
      <c r="H44">
        <v>2004</v>
      </c>
      <c r="I44" s="1">
        <v>3672</v>
      </c>
      <c r="J44" s="1">
        <v>4080</v>
      </c>
      <c r="K44" s="1">
        <v>1304.1199999999999</v>
      </c>
    </row>
    <row r="45" spans="1:11" x14ac:dyDescent="0.35">
      <c r="A45">
        <v>390073</v>
      </c>
      <c r="B45">
        <v>1069206</v>
      </c>
      <c r="C45" t="str">
        <f>"EAGLE ADVANTAGE SCHOOLS, INC."</f>
        <v>EAGLE ADVANTAGE SCHOOLS, INC.</v>
      </c>
      <c r="D45" t="s">
        <v>11</v>
      </c>
      <c r="E45" t="s">
        <v>71</v>
      </c>
      <c r="F45" t="s">
        <v>13</v>
      </c>
      <c r="G45">
        <v>75236</v>
      </c>
      <c r="H45">
        <v>2004</v>
      </c>
      <c r="I45" s="1">
        <v>6480</v>
      </c>
      <c r="J45" s="1">
        <v>7200</v>
      </c>
    </row>
    <row r="46" spans="1:11" x14ac:dyDescent="0.35">
      <c r="A46">
        <v>405539</v>
      </c>
      <c r="B46">
        <v>1159150</v>
      </c>
      <c r="C46" t="str">
        <f>"EAST DALLAS COMMUNITY SCHOOL"</f>
        <v>EAST DALLAS COMMUNITY SCHOOL</v>
      </c>
      <c r="D46" t="s">
        <v>11</v>
      </c>
      <c r="E46" t="s">
        <v>72</v>
      </c>
      <c r="F46" t="s">
        <v>13</v>
      </c>
      <c r="G46">
        <v>75223</v>
      </c>
      <c r="H46">
        <v>2004</v>
      </c>
      <c r="I46" s="1">
        <v>319.97000000000003</v>
      </c>
      <c r="J46" s="1">
        <v>399.96</v>
      </c>
      <c r="K46" s="1">
        <v>239.18</v>
      </c>
    </row>
    <row r="47" spans="1:11" x14ac:dyDescent="0.35">
      <c r="A47">
        <v>428359</v>
      </c>
      <c r="B47">
        <v>1187142</v>
      </c>
      <c r="C47" t="str">
        <f>"EDUCATION CENTER"</f>
        <v>EDUCATION CENTER</v>
      </c>
      <c r="D47" t="s">
        <v>11</v>
      </c>
      <c r="E47" t="s">
        <v>73</v>
      </c>
      <c r="F47" t="s">
        <v>74</v>
      </c>
      <c r="G47">
        <v>75068</v>
      </c>
      <c r="H47">
        <v>2004</v>
      </c>
      <c r="I47" s="1">
        <v>3240</v>
      </c>
      <c r="J47" s="1">
        <v>5400</v>
      </c>
    </row>
    <row r="48" spans="1:11" x14ac:dyDescent="0.35">
      <c r="A48">
        <v>430635</v>
      </c>
      <c r="B48">
        <v>1195363</v>
      </c>
      <c r="C48" t="str">
        <f>"EDUCATION CENTER"</f>
        <v>EDUCATION CENTER</v>
      </c>
      <c r="D48" t="s">
        <v>11</v>
      </c>
      <c r="E48" t="s">
        <v>73</v>
      </c>
      <c r="F48" t="s">
        <v>74</v>
      </c>
      <c r="G48">
        <v>75068</v>
      </c>
      <c r="H48">
        <v>2004</v>
      </c>
      <c r="I48" s="1">
        <v>2861.4</v>
      </c>
      <c r="J48" s="1">
        <v>4769</v>
      </c>
    </row>
    <row r="49" spans="1:11" x14ac:dyDescent="0.35">
      <c r="A49">
        <v>429090</v>
      </c>
      <c r="B49">
        <v>1195264</v>
      </c>
      <c r="C49" t="str">
        <f>"EOAC WACO CHARTER SCHOOL"</f>
        <v>EOAC WACO CHARTER SCHOOL</v>
      </c>
      <c r="D49" t="s">
        <v>11</v>
      </c>
      <c r="E49" t="s">
        <v>75</v>
      </c>
      <c r="F49" t="s">
        <v>32</v>
      </c>
      <c r="G49">
        <v>76707</v>
      </c>
      <c r="H49">
        <v>2004</v>
      </c>
      <c r="I49" s="1">
        <v>7830</v>
      </c>
      <c r="J49" s="1">
        <v>8700</v>
      </c>
    </row>
    <row r="50" spans="1:11" x14ac:dyDescent="0.35">
      <c r="A50">
        <v>411196</v>
      </c>
      <c r="B50">
        <v>1127644</v>
      </c>
      <c r="C50" t="str">
        <f>"EPISCOPAL SCHOOL"</f>
        <v>EPISCOPAL SCHOOL</v>
      </c>
      <c r="D50" t="s">
        <v>11</v>
      </c>
      <c r="E50" t="s">
        <v>76</v>
      </c>
      <c r="F50" t="s">
        <v>42</v>
      </c>
      <c r="G50">
        <v>76308</v>
      </c>
      <c r="H50">
        <v>2004</v>
      </c>
      <c r="I50" s="1">
        <v>456</v>
      </c>
      <c r="J50" s="1">
        <v>1140</v>
      </c>
      <c r="K50" s="1">
        <v>456</v>
      </c>
    </row>
    <row r="51" spans="1:11" x14ac:dyDescent="0.35">
      <c r="A51">
        <v>411096</v>
      </c>
      <c r="B51">
        <v>1127408</v>
      </c>
      <c r="C51" t="str">
        <f>"ERATH EXCELS  ACADEMY"</f>
        <v>ERATH EXCELS  ACADEMY</v>
      </c>
      <c r="D51" t="s">
        <v>11</v>
      </c>
      <c r="E51" t="s">
        <v>77</v>
      </c>
      <c r="F51" t="s">
        <v>78</v>
      </c>
      <c r="G51">
        <v>76401</v>
      </c>
      <c r="H51">
        <v>2004</v>
      </c>
      <c r="I51" s="1">
        <v>2058</v>
      </c>
      <c r="J51" s="1">
        <v>2940</v>
      </c>
      <c r="K51" s="1">
        <v>2058</v>
      </c>
    </row>
    <row r="52" spans="1:11" x14ac:dyDescent="0.35">
      <c r="A52">
        <v>396560</v>
      </c>
      <c r="B52">
        <v>1088342</v>
      </c>
      <c r="C52" t="str">
        <f>"EZZELL ELEMENTARY SCHOOL"</f>
        <v>EZZELL ELEMENTARY SCHOOL</v>
      </c>
      <c r="D52" t="s">
        <v>11</v>
      </c>
      <c r="E52" t="s">
        <v>79</v>
      </c>
      <c r="F52" t="s">
        <v>80</v>
      </c>
      <c r="G52">
        <v>77964</v>
      </c>
      <c r="H52">
        <v>2004</v>
      </c>
      <c r="I52" s="1">
        <v>5760</v>
      </c>
      <c r="J52" s="1">
        <v>9600</v>
      </c>
      <c r="K52" s="1">
        <v>5760</v>
      </c>
    </row>
    <row r="53" spans="1:11" x14ac:dyDescent="0.35">
      <c r="A53">
        <v>406145</v>
      </c>
      <c r="B53">
        <v>1171916</v>
      </c>
      <c r="C53" t="str">
        <f>"FRUIT OF EXCELLENCE"</f>
        <v>FRUIT OF EXCELLENCE</v>
      </c>
      <c r="D53" t="s">
        <v>11</v>
      </c>
      <c r="E53" t="s">
        <v>81</v>
      </c>
      <c r="F53" t="s">
        <v>82</v>
      </c>
      <c r="G53">
        <v>78621</v>
      </c>
      <c r="H53">
        <v>2004</v>
      </c>
      <c r="I53" s="1">
        <v>3240</v>
      </c>
      <c r="J53" s="1">
        <v>3600</v>
      </c>
    </row>
    <row r="54" spans="1:11" x14ac:dyDescent="0.35">
      <c r="A54">
        <v>406150</v>
      </c>
      <c r="B54">
        <v>1173008</v>
      </c>
      <c r="C54" t="str">
        <f>"FRUIT OF EXCELLENCE"</f>
        <v>FRUIT OF EXCELLENCE</v>
      </c>
      <c r="D54" t="s">
        <v>11</v>
      </c>
      <c r="E54" t="s">
        <v>83</v>
      </c>
      <c r="F54" t="s">
        <v>21</v>
      </c>
      <c r="G54">
        <v>77004</v>
      </c>
      <c r="H54">
        <v>2004</v>
      </c>
      <c r="I54" s="1">
        <v>2332.8000000000002</v>
      </c>
      <c r="J54" s="1">
        <v>2592</v>
      </c>
    </row>
    <row r="55" spans="1:11" x14ac:dyDescent="0.35">
      <c r="A55">
        <v>400204</v>
      </c>
      <c r="B55">
        <v>1094407</v>
      </c>
      <c r="C55" t="str">
        <f>"FRUITVALE INDEP SCHOOL DIST"</f>
        <v>FRUITVALE INDEP SCHOOL DIST</v>
      </c>
      <c r="D55" t="s">
        <v>11</v>
      </c>
      <c r="E55" t="s">
        <v>84</v>
      </c>
      <c r="F55" t="s">
        <v>85</v>
      </c>
      <c r="G55">
        <v>75127</v>
      </c>
      <c r="H55">
        <v>2004</v>
      </c>
      <c r="I55" s="1">
        <v>2688</v>
      </c>
      <c r="J55" s="1">
        <v>5040</v>
      </c>
      <c r="K55" s="1">
        <v>1888.32</v>
      </c>
    </row>
    <row r="56" spans="1:11" x14ac:dyDescent="0.35">
      <c r="A56">
        <v>400204</v>
      </c>
      <c r="B56">
        <v>1094427</v>
      </c>
      <c r="C56" t="str">
        <f>"FRUITVALE INDEP SCHOOL DIST"</f>
        <v>FRUITVALE INDEP SCHOOL DIST</v>
      </c>
      <c r="D56" t="s">
        <v>11</v>
      </c>
      <c r="E56" t="s">
        <v>84</v>
      </c>
      <c r="F56" t="s">
        <v>85</v>
      </c>
      <c r="G56">
        <v>75127</v>
      </c>
      <c r="H56">
        <v>2004</v>
      </c>
      <c r="I56" s="1">
        <v>1920</v>
      </c>
      <c r="J56" s="1">
        <v>3600</v>
      </c>
    </row>
    <row r="57" spans="1:11" x14ac:dyDescent="0.35">
      <c r="A57">
        <v>429634</v>
      </c>
      <c r="B57">
        <v>1194031</v>
      </c>
      <c r="C57" t="str">
        <f>"GAUSE ELEMENTARY SCHOOL"</f>
        <v>GAUSE ELEMENTARY SCHOOL</v>
      </c>
      <c r="D57" t="s">
        <v>11</v>
      </c>
      <c r="E57" t="s">
        <v>86</v>
      </c>
      <c r="F57" t="s">
        <v>87</v>
      </c>
      <c r="G57">
        <v>77857</v>
      </c>
      <c r="H57">
        <v>2004</v>
      </c>
      <c r="I57" s="1">
        <v>13497.6</v>
      </c>
      <c r="J57" s="1">
        <v>16872</v>
      </c>
      <c r="K57" s="1">
        <v>12600</v>
      </c>
    </row>
    <row r="58" spans="1:11" x14ac:dyDescent="0.35">
      <c r="A58">
        <v>418700</v>
      </c>
      <c r="B58">
        <v>1172213</v>
      </c>
      <c r="C58" t="str">
        <f>"GEORGE GERVIN YOUTH CENTER"</f>
        <v>GEORGE GERVIN YOUTH CENTER</v>
      </c>
      <c r="D58" t="s">
        <v>11</v>
      </c>
      <c r="E58" t="s">
        <v>88</v>
      </c>
      <c r="F58" t="s">
        <v>19</v>
      </c>
      <c r="G58">
        <v>78218</v>
      </c>
      <c r="H58">
        <v>2004</v>
      </c>
      <c r="I58" s="1">
        <v>3421.12</v>
      </c>
      <c r="J58" s="1">
        <v>3801.24</v>
      </c>
    </row>
    <row r="59" spans="1:11" x14ac:dyDescent="0.35">
      <c r="A59">
        <v>418700</v>
      </c>
      <c r="B59">
        <v>1170867</v>
      </c>
      <c r="C59" t="str">
        <f>"GEORGE GERVIN YOUTH CENTER"</f>
        <v>GEORGE GERVIN YOUTH CENTER</v>
      </c>
      <c r="D59" t="s">
        <v>11</v>
      </c>
      <c r="E59" t="s">
        <v>88</v>
      </c>
      <c r="F59" t="s">
        <v>19</v>
      </c>
      <c r="G59">
        <v>78218</v>
      </c>
      <c r="H59">
        <v>2004</v>
      </c>
      <c r="I59" s="1">
        <v>0</v>
      </c>
      <c r="J59" s="1">
        <v>0</v>
      </c>
    </row>
    <row r="60" spans="1:11" x14ac:dyDescent="0.35">
      <c r="A60">
        <v>435143</v>
      </c>
      <c r="B60">
        <v>1213096</v>
      </c>
      <c r="C60" t="str">
        <f>"GEORGE SANCHEZ CHARTER SCHOOL-SAN ANTONIO"</f>
        <v>GEORGE SANCHEZ CHARTER SCHOOL-SAN ANTONIO</v>
      </c>
      <c r="D60" t="s">
        <v>11</v>
      </c>
      <c r="E60" t="s">
        <v>89</v>
      </c>
      <c r="F60" t="s">
        <v>19</v>
      </c>
      <c r="G60">
        <v>78204</v>
      </c>
      <c r="H60">
        <v>2004</v>
      </c>
      <c r="I60" s="1">
        <v>1276.8</v>
      </c>
      <c r="J60" s="1">
        <v>6384</v>
      </c>
      <c r="K60" s="1">
        <v>1276.8</v>
      </c>
    </row>
    <row r="61" spans="1:11" x14ac:dyDescent="0.35">
      <c r="A61">
        <v>418584</v>
      </c>
      <c r="B61">
        <v>1167494</v>
      </c>
      <c r="C61" t="str">
        <f>"GEORGE SANCHEZ SCHOOL"</f>
        <v>GEORGE SANCHEZ SCHOOL</v>
      </c>
      <c r="D61" t="s">
        <v>11</v>
      </c>
      <c r="E61" t="s">
        <v>90</v>
      </c>
      <c r="F61" t="s">
        <v>21</v>
      </c>
      <c r="G61">
        <v>77023</v>
      </c>
      <c r="H61">
        <v>2004</v>
      </c>
      <c r="I61" s="1">
        <v>1955.72</v>
      </c>
      <c r="J61" s="1">
        <v>7333.92</v>
      </c>
      <c r="K61" s="1">
        <v>1955.72</v>
      </c>
    </row>
    <row r="62" spans="1:11" x14ac:dyDescent="0.35">
      <c r="A62">
        <v>405779</v>
      </c>
      <c r="B62">
        <v>1128031</v>
      </c>
      <c r="C62" t="str">
        <f>"GHOLSON INDEP SCHOOL DISTRICT"</f>
        <v>GHOLSON INDEP SCHOOL DISTRICT</v>
      </c>
      <c r="D62" t="s">
        <v>11</v>
      </c>
      <c r="E62" t="s">
        <v>91</v>
      </c>
      <c r="F62" t="s">
        <v>32</v>
      </c>
      <c r="G62">
        <v>76705</v>
      </c>
      <c r="H62">
        <v>2004</v>
      </c>
      <c r="I62" s="1">
        <v>9408</v>
      </c>
      <c r="J62" s="1">
        <v>11760</v>
      </c>
      <c r="K62" s="1">
        <v>9408</v>
      </c>
    </row>
    <row r="63" spans="1:11" x14ac:dyDescent="0.35">
      <c r="A63">
        <v>431155</v>
      </c>
      <c r="B63">
        <v>1198729</v>
      </c>
      <c r="C63" t="str">
        <f>"GIRLS AND BOYS PREPARATORY ACADEMY"</f>
        <v>GIRLS AND BOYS PREPARATORY ACADEMY</v>
      </c>
      <c r="D63" t="s">
        <v>11</v>
      </c>
      <c r="E63" t="s">
        <v>92</v>
      </c>
      <c r="F63" t="s">
        <v>21</v>
      </c>
      <c r="G63">
        <v>77071</v>
      </c>
      <c r="H63">
        <v>2004</v>
      </c>
      <c r="I63" s="1">
        <v>939.6</v>
      </c>
      <c r="J63" s="1">
        <v>1080</v>
      </c>
    </row>
    <row r="64" spans="1:11" x14ac:dyDescent="0.35">
      <c r="A64">
        <v>431155</v>
      </c>
      <c r="B64">
        <v>1198456</v>
      </c>
      <c r="C64" t="str">
        <f>"GIRLS AND BOYS PREPARATORY ACADEMY"</f>
        <v>GIRLS AND BOYS PREPARATORY ACADEMY</v>
      </c>
      <c r="D64" t="s">
        <v>11</v>
      </c>
      <c r="E64" t="s">
        <v>92</v>
      </c>
      <c r="F64" t="s">
        <v>21</v>
      </c>
      <c r="G64">
        <v>77071</v>
      </c>
      <c r="H64">
        <v>2004</v>
      </c>
      <c r="I64" s="1">
        <v>4437</v>
      </c>
      <c r="J64" s="1">
        <v>5100</v>
      </c>
    </row>
    <row r="65" spans="1:11" x14ac:dyDescent="0.35">
      <c r="A65">
        <v>409553</v>
      </c>
      <c r="B65">
        <v>1122626</v>
      </c>
      <c r="C65" t="str">
        <f>"GOLDEN RULE CHARTER SCHOOL"</f>
        <v>GOLDEN RULE CHARTER SCHOOL</v>
      </c>
      <c r="D65" t="s">
        <v>11</v>
      </c>
      <c r="E65" t="s">
        <v>93</v>
      </c>
      <c r="F65" t="s">
        <v>13</v>
      </c>
      <c r="G65">
        <v>75233</v>
      </c>
      <c r="H65">
        <v>2004</v>
      </c>
      <c r="I65" s="1">
        <v>0</v>
      </c>
      <c r="J65" s="1">
        <v>0</v>
      </c>
    </row>
    <row r="66" spans="1:11" x14ac:dyDescent="0.35">
      <c r="A66">
        <v>399378</v>
      </c>
      <c r="B66">
        <v>1092059</v>
      </c>
      <c r="C66" t="str">
        <f>"GONZALES INDEP SCHOOL DISTRICT"</f>
        <v>GONZALES INDEP SCHOOL DISTRICT</v>
      </c>
      <c r="D66" t="s">
        <v>11</v>
      </c>
      <c r="E66" t="s">
        <v>94</v>
      </c>
      <c r="F66" t="s">
        <v>95</v>
      </c>
      <c r="G66">
        <v>78629</v>
      </c>
      <c r="H66">
        <v>2004</v>
      </c>
      <c r="I66" s="1">
        <v>10164</v>
      </c>
      <c r="J66" s="1">
        <v>13200</v>
      </c>
    </row>
    <row r="67" spans="1:11" x14ac:dyDescent="0.35">
      <c r="A67">
        <v>405254</v>
      </c>
      <c r="B67">
        <v>1116433</v>
      </c>
      <c r="C67" t="str">
        <f>"GRAFORD INDEP SCHOOL DISTRICT"</f>
        <v>GRAFORD INDEP SCHOOL DISTRICT</v>
      </c>
      <c r="D67" t="s">
        <v>11</v>
      </c>
      <c r="E67" t="s">
        <v>96</v>
      </c>
      <c r="F67" t="s">
        <v>97</v>
      </c>
      <c r="G67">
        <v>76449</v>
      </c>
      <c r="H67">
        <v>2004</v>
      </c>
      <c r="I67" s="1">
        <v>3150</v>
      </c>
      <c r="J67" s="1">
        <v>4200</v>
      </c>
      <c r="K67" s="1">
        <v>3150</v>
      </c>
    </row>
    <row r="68" spans="1:11" x14ac:dyDescent="0.35">
      <c r="A68">
        <v>396037</v>
      </c>
      <c r="B68">
        <v>1082606</v>
      </c>
      <c r="C68" t="str">
        <f>"GROVETON INDEP SCHOOL DISTRICT"</f>
        <v>GROVETON INDEP SCHOOL DISTRICT</v>
      </c>
      <c r="D68" t="s">
        <v>11</v>
      </c>
      <c r="E68" t="s">
        <v>98</v>
      </c>
      <c r="F68" t="s">
        <v>99</v>
      </c>
      <c r="G68">
        <v>75845</v>
      </c>
      <c r="H68">
        <v>2004</v>
      </c>
      <c r="I68" s="1">
        <v>12822.72</v>
      </c>
      <c r="J68" s="1">
        <v>16872</v>
      </c>
      <c r="K68" s="1">
        <v>11970</v>
      </c>
    </row>
    <row r="69" spans="1:11" x14ac:dyDescent="0.35">
      <c r="A69">
        <v>407870</v>
      </c>
      <c r="B69">
        <v>1117586</v>
      </c>
      <c r="C69" t="str">
        <f>"GUADALUPE REGIONAL MIDDLE SCHOOL"</f>
        <v>GUADALUPE REGIONAL MIDDLE SCHOOL</v>
      </c>
      <c r="D69" t="s">
        <v>11</v>
      </c>
      <c r="E69" t="s">
        <v>100</v>
      </c>
      <c r="F69" t="s">
        <v>101</v>
      </c>
      <c r="G69">
        <v>78521</v>
      </c>
      <c r="H69">
        <v>2004</v>
      </c>
      <c r="I69" s="1">
        <v>2700</v>
      </c>
      <c r="J69" s="1">
        <v>3000</v>
      </c>
      <c r="K69" s="1">
        <v>539.52</v>
      </c>
    </row>
    <row r="70" spans="1:11" x14ac:dyDescent="0.35">
      <c r="A70">
        <v>430263</v>
      </c>
      <c r="B70">
        <v>1196041</v>
      </c>
      <c r="C70" t="str">
        <f>"GULF COAST TRADE CENTER HARLINGEN"</f>
        <v>GULF COAST TRADE CENTER HARLINGEN</v>
      </c>
      <c r="D70" t="s">
        <v>11</v>
      </c>
      <c r="E70" t="s">
        <v>102</v>
      </c>
      <c r="F70" t="s">
        <v>103</v>
      </c>
      <c r="G70">
        <v>78501</v>
      </c>
      <c r="H70">
        <v>2004</v>
      </c>
      <c r="I70" s="1">
        <v>0</v>
      </c>
      <c r="J70" s="1">
        <v>0</v>
      </c>
    </row>
    <row r="71" spans="1:11" x14ac:dyDescent="0.35">
      <c r="A71">
        <v>429683</v>
      </c>
      <c r="B71">
        <v>1193632</v>
      </c>
      <c r="C71" t="str">
        <f>"GULF COAST TRADES CENTER"</f>
        <v>GULF COAST TRADES CENTER</v>
      </c>
      <c r="D71" t="s">
        <v>11</v>
      </c>
      <c r="E71" t="s">
        <v>104</v>
      </c>
      <c r="F71" t="s">
        <v>105</v>
      </c>
      <c r="G71">
        <v>77358</v>
      </c>
      <c r="H71">
        <v>2004</v>
      </c>
      <c r="I71" s="1">
        <v>7200</v>
      </c>
      <c r="J71" s="1">
        <v>12000</v>
      </c>
    </row>
    <row r="72" spans="1:11" x14ac:dyDescent="0.35">
      <c r="A72">
        <v>388473</v>
      </c>
      <c r="B72">
        <v>1066176</v>
      </c>
      <c r="C72" t="str">
        <f>"HALTOM MIDDLE SCHOOL"</f>
        <v>HALTOM MIDDLE SCHOOL</v>
      </c>
      <c r="D72" t="s">
        <v>11</v>
      </c>
      <c r="E72" t="s">
        <v>106</v>
      </c>
      <c r="F72" t="s">
        <v>107</v>
      </c>
      <c r="G72">
        <v>76117</v>
      </c>
      <c r="H72">
        <v>2004</v>
      </c>
      <c r="I72" s="1">
        <v>1870</v>
      </c>
      <c r="J72" s="1">
        <v>2337.5</v>
      </c>
      <c r="K72" s="1">
        <v>1246.67</v>
      </c>
    </row>
    <row r="73" spans="1:11" x14ac:dyDescent="0.35">
      <c r="A73">
        <v>432395</v>
      </c>
      <c r="B73">
        <v>1202464</v>
      </c>
      <c r="C73" t="str">
        <f>"HARMONY SCIENCE ACADEMY"</f>
        <v>HARMONY SCIENCE ACADEMY</v>
      </c>
      <c r="D73" t="s">
        <v>11</v>
      </c>
      <c r="E73" t="s">
        <v>108</v>
      </c>
      <c r="F73" t="s">
        <v>21</v>
      </c>
      <c r="G73">
        <v>77096</v>
      </c>
      <c r="H73">
        <v>2004</v>
      </c>
      <c r="I73" s="1">
        <v>0</v>
      </c>
      <c r="J73" s="1">
        <v>0</v>
      </c>
    </row>
    <row r="74" spans="1:11" x14ac:dyDescent="0.35">
      <c r="A74">
        <v>424769</v>
      </c>
      <c r="B74">
        <v>1178536</v>
      </c>
      <c r="C74" t="str">
        <f>"HARMONY SCIENCE ACADEMY - AUSTIN"</f>
        <v>HARMONY SCIENCE ACADEMY - AUSTIN</v>
      </c>
      <c r="D74" t="s">
        <v>11</v>
      </c>
      <c r="E74" t="s">
        <v>109</v>
      </c>
      <c r="F74" t="s">
        <v>60</v>
      </c>
      <c r="G74">
        <v>78753</v>
      </c>
      <c r="H74">
        <v>2004</v>
      </c>
      <c r="I74" s="1">
        <v>1359.5</v>
      </c>
      <c r="J74" s="1">
        <v>2265.84</v>
      </c>
      <c r="K74" s="1">
        <v>1217.8800000000001</v>
      </c>
    </row>
    <row r="75" spans="1:11" x14ac:dyDescent="0.35">
      <c r="A75">
        <v>432343</v>
      </c>
      <c r="B75">
        <v>1202004</v>
      </c>
      <c r="C75" t="str">
        <f>"HARMONY SCIENCE ACADEMY-DALLAS"</f>
        <v>HARMONY SCIENCE ACADEMY-DALLAS</v>
      </c>
      <c r="D75" t="s">
        <v>11</v>
      </c>
      <c r="E75" t="s">
        <v>110</v>
      </c>
      <c r="F75" t="s">
        <v>13</v>
      </c>
      <c r="G75">
        <v>75243</v>
      </c>
      <c r="H75">
        <v>2004</v>
      </c>
      <c r="I75" s="1">
        <v>0</v>
      </c>
      <c r="J75" s="1">
        <v>0</v>
      </c>
    </row>
    <row r="76" spans="1:11" x14ac:dyDescent="0.35">
      <c r="A76">
        <v>393817</v>
      </c>
      <c r="B76">
        <v>1078493</v>
      </c>
      <c r="C76" t="str">
        <f>"HARRIS COUNTY JUVENILE JUSTICE CHARTER SCHOOL"</f>
        <v>HARRIS COUNTY JUVENILE JUSTICE CHARTER SCHOOL</v>
      </c>
      <c r="D76" t="s">
        <v>11</v>
      </c>
      <c r="E76" t="s">
        <v>111</v>
      </c>
      <c r="F76" t="s">
        <v>21</v>
      </c>
      <c r="G76">
        <v>77002</v>
      </c>
      <c r="H76">
        <v>2004</v>
      </c>
      <c r="I76" s="1">
        <v>17210.400000000001</v>
      </c>
      <c r="J76" s="1">
        <v>19122.669999999998</v>
      </c>
    </row>
    <row r="77" spans="1:11" x14ac:dyDescent="0.35">
      <c r="A77">
        <v>433015</v>
      </c>
      <c r="B77">
        <v>1205419</v>
      </c>
      <c r="C77" t="str">
        <f>"HERITAGE CHRISTIAN ACADEMY"</f>
        <v>HERITAGE CHRISTIAN ACADEMY</v>
      </c>
      <c r="D77" t="s">
        <v>11</v>
      </c>
      <c r="E77" t="s">
        <v>112</v>
      </c>
      <c r="F77" t="s">
        <v>113</v>
      </c>
      <c r="G77">
        <v>77550</v>
      </c>
      <c r="H77">
        <v>2004</v>
      </c>
      <c r="I77" s="1">
        <v>0</v>
      </c>
      <c r="J77" s="1">
        <v>0</v>
      </c>
    </row>
    <row r="78" spans="1:11" x14ac:dyDescent="0.35">
      <c r="A78">
        <v>433015</v>
      </c>
      <c r="B78">
        <v>1205485</v>
      </c>
      <c r="C78" t="str">
        <f>"HERITAGE CHRISTIAN ACADEMY"</f>
        <v>HERITAGE CHRISTIAN ACADEMY</v>
      </c>
      <c r="D78" t="s">
        <v>11</v>
      </c>
      <c r="E78" t="s">
        <v>112</v>
      </c>
      <c r="F78" t="s">
        <v>113</v>
      </c>
      <c r="G78">
        <v>77550</v>
      </c>
      <c r="H78">
        <v>2004</v>
      </c>
      <c r="I78" s="1">
        <v>0</v>
      </c>
      <c r="J78" s="1">
        <v>0</v>
      </c>
    </row>
    <row r="79" spans="1:11" x14ac:dyDescent="0.35">
      <c r="A79">
        <v>416904</v>
      </c>
      <c r="B79">
        <v>1156496</v>
      </c>
      <c r="C79" t="str">
        <f>"HERMLEIGH INDEP SCHOOL DIST"</f>
        <v>HERMLEIGH INDEP SCHOOL DIST</v>
      </c>
      <c r="D79" t="s">
        <v>11</v>
      </c>
      <c r="E79" t="s">
        <v>114</v>
      </c>
      <c r="F79" t="s">
        <v>115</v>
      </c>
      <c r="G79">
        <v>79526</v>
      </c>
      <c r="H79">
        <v>2004</v>
      </c>
      <c r="I79" s="1">
        <v>0</v>
      </c>
      <c r="J79" s="1">
        <v>0</v>
      </c>
    </row>
    <row r="80" spans="1:11" x14ac:dyDescent="0.35">
      <c r="A80">
        <v>401199</v>
      </c>
      <c r="B80">
        <v>1097138</v>
      </c>
      <c r="C80" t="str">
        <f>"HIDALGO COUNTY LEARNING CENTER (JJAEP)"</f>
        <v>HIDALGO COUNTY LEARNING CENTER (JJAEP)</v>
      </c>
      <c r="D80" t="s">
        <v>11</v>
      </c>
      <c r="E80" t="s">
        <v>116</v>
      </c>
      <c r="F80" t="s">
        <v>117</v>
      </c>
      <c r="G80">
        <v>78501</v>
      </c>
      <c r="H80">
        <v>2004</v>
      </c>
      <c r="I80" s="1">
        <v>4768.5600000000004</v>
      </c>
      <c r="J80" s="1">
        <v>5298.4</v>
      </c>
    </row>
    <row r="81" spans="1:11" x14ac:dyDescent="0.35">
      <c r="A81">
        <v>414552</v>
      </c>
      <c r="B81">
        <v>1139349</v>
      </c>
      <c r="C81" t="str">
        <f>"HIGGS, CARTER, KING  GIFTED &amp; TALENTED CHARTER ACADEMY"</f>
        <v>HIGGS, CARTER, KING  GIFTED &amp; TALENTED CHARTER ACADEMY</v>
      </c>
      <c r="D81" t="s">
        <v>11</v>
      </c>
      <c r="E81" t="s">
        <v>118</v>
      </c>
      <c r="F81" t="s">
        <v>19</v>
      </c>
      <c r="G81">
        <v>78218</v>
      </c>
      <c r="H81">
        <v>2004</v>
      </c>
      <c r="I81" s="1">
        <v>10482.48</v>
      </c>
      <c r="J81" s="1">
        <v>11647.2</v>
      </c>
    </row>
    <row r="82" spans="1:11" x14ac:dyDescent="0.35">
      <c r="A82">
        <v>430449</v>
      </c>
      <c r="B82">
        <v>1194845</v>
      </c>
      <c r="C82" t="str">
        <f>"HIGGS, CARTER, KING  GIFTED &amp; TALENTED CHARTER ACADEMY"</f>
        <v>HIGGS, CARTER, KING  GIFTED &amp; TALENTED CHARTER ACADEMY</v>
      </c>
      <c r="D82" t="s">
        <v>11</v>
      </c>
      <c r="E82" t="s">
        <v>118</v>
      </c>
      <c r="F82" t="s">
        <v>19</v>
      </c>
      <c r="G82">
        <v>78218</v>
      </c>
      <c r="H82">
        <v>2004</v>
      </c>
      <c r="I82" s="1">
        <v>3334.5</v>
      </c>
      <c r="J82" s="1">
        <v>3705</v>
      </c>
      <c r="K82" s="1">
        <v>3334.5</v>
      </c>
    </row>
    <row r="83" spans="1:11" x14ac:dyDescent="0.35">
      <c r="A83">
        <v>434300</v>
      </c>
      <c r="B83">
        <v>1209797</v>
      </c>
      <c r="C83" t="str">
        <f>"HILL SCHOOL OF FORT WORTH"</f>
        <v>HILL SCHOOL OF FORT WORTH</v>
      </c>
      <c r="D83" t="s">
        <v>11</v>
      </c>
      <c r="E83" t="s">
        <v>119</v>
      </c>
      <c r="F83" t="s">
        <v>51</v>
      </c>
      <c r="G83">
        <v>76133</v>
      </c>
      <c r="H83">
        <v>2004</v>
      </c>
      <c r="I83" s="1">
        <v>2040</v>
      </c>
      <c r="J83" s="1">
        <v>5100</v>
      </c>
    </row>
    <row r="84" spans="1:11" x14ac:dyDescent="0.35">
      <c r="A84">
        <v>417895</v>
      </c>
      <c r="B84">
        <v>1168408</v>
      </c>
      <c r="C84" t="str">
        <f>"HOLY CROSS JR-SR HIGH SCHOOL"</f>
        <v>HOLY CROSS JR-SR HIGH SCHOOL</v>
      </c>
      <c r="D84" t="s">
        <v>11</v>
      </c>
      <c r="E84" t="s">
        <v>120</v>
      </c>
      <c r="F84" t="s">
        <v>19</v>
      </c>
      <c r="G84">
        <v>78228</v>
      </c>
      <c r="H84">
        <v>2004</v>
      </c>
      <c r="I84" s="1">
        <v>6318</v>
      </c>
      <c r="J84" s="1">
        <v>7020</v>
      </c>
      <c r="K84" s="1">
        <v>6318</v>
      </c>
    </row>
    <row r="85" spans="1:11" x14ac:dyDescent="0.35">
      <c r="A85">
        <v>417895</v>
      </c>
      <c r="B85">
        <v>1168474</v>
      </c>
      <c r="C85" t="str">
        <f>"HOLY CROSS JR-SR HIGH SCHOOL"</f>
        <v>HOLY CROSS JR-SR HIGH SCHOOL</v>
      </c>
      <c r="D85" t="s">
        <v>11</v>
      </c>
      <c r="E85" t="s">
        <v>120</v>
      </c>
      <c r="F85" t="s">
        <v>19</v>
      </c>
      <c r="G85">
        <v>78228</v>
      </c>
      <c r="H85">
        <v>2004</v>
      </c>
      <c r="I85" s="1">
        <v>2886.19</v>
      </c>
      <c r="J85" s="1">
        <v>3206.88</v>
      </c>
      <c r="K85" s="1">
        <v>2886.19</v>
      </c>
    </row>
    <row r="86" spans="1:11" x14ac:dyDescent="0.35">
      <c r="A86">
        <v>417895</v>
      </c>
      <c r="B86">
        <v>1168504</v>
      </c>
      <c r="C86" t="str">
        <f>"HOLY CROSS JR-SR HIGH SCHOOL"</f>
        <v>HOLY CROSS JR-SR HIGH SCHOOL</v>
      </c>
      <c r="D86" t="s">
        <v>11</v>
      </c>
      <c r="E86" t="s">
        <v>120</v>
      </c>
      <c r="F86" t="s">
        <v>19</v>
      </c>
      <c r="G86">
        <v>78228</v>
      </c>
      <c r="H86">
        <v>2004</v>
      </c>
      <c r="I86" s="1">
        <v>1336.5</v>
      </c>
      <c r="J86" s="1">
        <v>1485</v>
      </c>
      <c r="K86" s="1">
        <v>1336.5</v>
      </c>
    </row>
    <row r="87" spans="1:11" x14ac:dyDescent="0.35">
      <c r="A87">
        <v>428738</v>
      </c>
      <c r="B87">
        <v>1191762</v>
      </c>
      <c r="C87" t="str">
        <f>"HOLY NAME SCHOOL"</f>
        <v>HOLY NAME SCHOOL</v>
      </c>
      <c r="D87" t="s">
        <v>11</v>
      </c>
      <c r="E87" t="s">
        <v>121</v>
      </c>
      <c r="F87" t="s">
        <v>19</v>
      </c>
      <c r="G87">
        <v>78223</v>
      </c>
      <c r="H87">
        <v>2004</v>
      </c>
      <c r="I87" s="1">
        <v>505.32</v>
      </c>
      <c r="J87" s="1">
        <v>1010.64</v>
      </c>
    </row>
    <row r="88" spans="1:11" x14ac:dyDescent="0.35">
      <c r="A88">
        <v>432369</v>
      </c>
      <c r="B88">
        <v>1202178</v>
      </c>
      <c r="C88" t="str">
        <f>"HOOKS ELEMENTARY SCHOOL"</f>
        <v>HOOKS ELEMENTARY SCHOOL</v>
      </c>
      <c r="D88" t="s">
        <v>11</v>
      </c>
      <c r="E88" t="s">
        <v>122</v>
      </c>
      <c r="F88" t="s">
        <v>123</v>
      </c>
      <c r="G88">
        <v>75561</v>
      </c>
      <c r="H88">
        <v>2004</v>
      </c>
      <c r="I88" s="1">
        <v>4320</v>
      </c>
      <c r="J88" s="1">
        <v>7200</v>
      </c>
    </row>
    <row r="89" spans="1:11" x14ac:dyDescent="0.35">
      <c r="A89">
        <v>432251</v>
      </c>
      <c r="B89">
        <v>1201811</v>
      </c>
      <c r="C89" t="str">
        <f>"HOOKS JUNIOR HIGH SCHOOL"</f>
        <v>HOOKS JUNIOR HIGH SCHOOL</v>
      </c>
      <c r="D89" t="s">
        <v>11</v>
      </c>
      <c r="E89" t="s">
        <v>124</v>
      </c>
      <c r="F89" t="s">
        <v>123</v>
      </c>
      <c r="G89">
        <v>75561</v>
      </c>
      <c r="H89">
        <v>2004</v>
      </c>
      <c r="I89" s="1">
        <v>4320</v>
      </c>
      <c r="J89" s="1">
        <v>7200</v>
      </c>
      <c r="K89" s="1">
        <v>4320</v>
      </c>
    </row>
    <row r="90" spans="1:11" x14ac:dyDescent="0.35">
      <c r="A90">
        <v>420124</v>
      </c>
      <c r="B90">
        <v>1158853</v>
      </c>
      <c r="C90" t="str">
        <f>"HOUSTON GATEWAY ACADEMY- HIGH SCHOOL"</f>
        <v>HOUSTON GATEWAY ACADEMY- HIGH SCHOOL</v>
      </c>
      <c r="D90" t="s">
        <v>11</v>
      </c>
      <c r="E90" t="s">
        <v>125</v>
      </c>
      <c r="F90" t="s">
        <v>21</v>
      </c>
      <c r="G90">
        <v>77016</v>
      </c>
      <c r="H90">
        <v>2004</v>
      </c>
      <c r="I90" s="1">
        <v>12384</v>
      </c>
      <c r="J90" s="1">
        <v>14400</v>
      </c>
      <c r="K90" s="1">
        <v>11767.2</v>
      </c>
    </row>
    <row r="91" spans="1:11" x14ac:dyDescent="0.35">
      <c r="A91">
        <v>401720</v>
      </c>
      <c r="B91">
        <v>1098809</v>
      </c>
      <c r="C91" t="str">
        <f>"HOUSTON HEIGHTS LEARNING ACADEMY"</f>
        <v>HOUSTON HEIGHTS LEARNING ACADEMY</v>
      </c>
      <c r="D91" t="s">
        <v>11</v>
      </c>
      <c r="E91" t="s">
        <v>126</v>
      </c>
      <c r="F91" t="s">
        <v>21</v>
      </c>
      <c r="G91">
        <v>77007</v>
      </c>
      <c r="H91">
        <v>2004</v>
      </c>
      <c r="I91" s="1">
        <v>2257.1999999999998</v>
      </c>
      <c r="J91" s="1">
        <v>2508</v>
      </c>
      <c r="K91" s="1">
        <v>1619.4</v>
      </c>
    </row>
    <row r="92" spans="1:11" x14ac:dyDescent="0.35">
      <c r="A92">
        <v>404527</v>
      </c>
      <c r="B92">
        <v>1108154</v>
      </c>
      <c r="C92" t="str">
        <f>"HUCKABAY INDEP SCHOOL DISTRICT"</f>
        <v>HUCKABAY INDEP SCHOOL DISTRICT</v>
      </c>
      <c r="D92" t="s">
        <v>11</v>
      </c>
      <c r="E92" t="s">
        <v>127</v>
      </c>
      <c r="F92" t="s">
        <v>78</v>
      </c>
      <c r="G92">
        <v>76401</v>
      </c>
      <c r="H92">
        <v>2004</v>
      </c>
      <c r="I92" s="1">
        <v>2520</v>
      </c>
      <c r="J92" s="1">
        <v>3600</v>
      </c>
      <c r="K92" s="1">
        <v>2520</v>
      </c>
    </row>
    <row r="93" spans="1:11" x14ac:dyDescent="0.35">
      <c r="A93">
        <v>389997</v>
      </c>
      <c r="B93">
        <v>1069103</v>
      </c>
      <c r="C93" t="str">
        <f>"I AM THAT I AM ACADEMY"</f>
        <v>I AM THAT I AM ACADEMY</v>
      </c>
      <c r="D93" t="s">
        <v>11</v>
      </c>
      <c r="E93" t="s">
        <v>128</v>
      </c>
      <c r="F93" t="s">
        <v>13</v>
      </c>
      <c r="G93">
        <v>75241</v>
      </c>
      <c r="H93">
        <v>2004</v>
      </c>
      <c r="I93" s="1">
        <v>6480</v>
      </c>
      <c r="J93" s="1">
        <v>7200</v>
      </c>
    </row>
    <row r="94" spans="1:11" x14ac:dyDescent="0.35">
      <c r="A94">
        <v>433004</v>
      </c>
      <c r="B94">
        <v>1205478</v>
      </c>
      <c r="C94" t="str">
        <f>"IDEA ACADEMY"</f>
        <v>IDEA ACADEMY</v>
      </c>
      <c r="D94" t="s">
        <v>11</v>
      </c>
      <c r="E94" t="s">
        <v>129</v>
      </c>
      <c r="F94" t="s">
        <v>130</v>
      </c>
      <c r="G94">
        <v>78537</v>
      </c>
      <c r="H94">
        <v>2004</v>
      </c>
      <c r="I94" s="1">
        <v>18360</v>
      </c>
      <c r="J94" s="1">
        <v>20400</v>
      </c>
      <c r="K94" s="1">
        <v>18360</v>
      </c>
    </row>
    <row r="95" spans="1:11" x14ac:dyDescent="0.35">
      <c r="A95">
        <v>399038</v>
      </c>
      <c r="B95">
        <v>1091050</v>
      </c>
      <c r="C95" t="str">
        <f>"IMPACT CHARTER SCHOOL"</f>
        <v>IMPACT CHARTER SCHOOL</v>
      </c>
      <c r="D95" t="s">
        <v>11</v>
      </c>
      <c r="E95" t="s">
        <v>131</v>
      </c>
      <c r="F95" t="s">
        <v>21</v>
      </c>
      <c r="G95">
        <v>77035</v>
      </c>
      <c r="H95">
        <v>2004</v>
      </c>
      <c r="I95" s="1">
        <v>2700</v>
      </c>
      <c r="J95" s="1">
        <v>3000</v>
      </c>
    </row>
    <row r="96" spans="1:11" x14ac:dyDescent="0.35">
      <c r="A96">
        <v>435156</v>
      </c>
      <c r="B96">
        <v>1213125</v>
      </c>
      <c r="C96" t="str">
        <f>"INCARNATE WORD ACADEMY"</f>
        <v>INCARNATE WORD ACADEMY</v>
      </c>
      <c r="D96" t="s">
        <v>11</v>
      </c>
      <c r="E96" t="s">
        <v>132</v>
      </c>
      <c r="F96" t="s">
        <v>101</v>
      </c>
      <c r="G96">
        <v>78520</v>
      </c>
      <c r="H96">
        <v>2004</v>
      </c>
      <c r="I96" s="1">
        <v>576</v>
      </c>
      <c r="J96" s="1">
        <v>1440</v>
      </c>
      <c r="K96" s="1">
        <v>360</v>
      </c>
    </row>
    <row r="97" spans="1:11" x14ac:dyDescent="0.35">
      <c r="A97">
        <v>403540</v>
      </c>
      <c r="B97">
        <v>1104648</v>
      </c>
      <c r="C97" t="str">
        <f>"ISLAMIC SCHOOL OF IRVING"</f>
        <v>ISLAMIC SCHOOL OF IRVING</v>
      </c>
      <c r="D97" t="s">
        <v>11</v>
      </c>
      <c r="E97" t="s">
        <v>133</v>
      </c>
      <c r="F97" t="s">
        <v>134</v>
      </c>
      <c r="G97">
        <v>75015</v>
      </c>
      <c r="H97">
        <v>2004</v>
      </c>
      <c r="I97" s="1">
        <v>0</v>
      </c>
      <c r="J97" s="1">
        <v>0</v>
      </c>
    </row>
    <row r="98" spans="1:11" x14ac:dyDescent="0.35">
      <c r="A98">
        <v>400107</v>
      </c>
      <c r="B98">
        <v>1094145</v>
      </c>
      <c r="C98" t="str">
        <f>"JAMIE'S HOUSE CHARTER SCHOOL"</f>
        <v>JAMIE'S HOUSE CHARTER SCHOOL</v>
      </c>
      <c r="D98" t="s">
        <v>11</v>
      </c>
      <c r="E98" t="s">
        <v>135</v>
      </c>
      <c r="F98" t="s">
        <v>21</v>
      </c>
      <c r="G98">
        <v>77090</v>
      </c>
      <c r="H98">
        <v>2004</v>
      </c>
      <c r="I98" s="1">
        <v>1080</v>
      </c>
      <c r="J98" s="1">
        <v>1200</v>
      </c>
    </row>
    <row r="99" spans="1:11" x14ac:dyDescent="0.35">
      <c r="A99">
        <v>400107</v>
      </c>
      <c r="B99">
        <v>1094179</v>
      </c>
      <c r="C99" t="str">
        <f>"JAMIE'S HOUSE CHARTER SCHOOL"</f>
        <v>JAMIE'S HOUSE CHARTER SCHOOL</v>
      </c>
      <c r="D99" t="s">
        <v>11</v>
      </c>
      <c r="E99" t="s">
        <v>135</v>
      </c>
      <c r="F99" t="s">
        <v>21</v>
      </c>
      <c r="G99">
        <v>77090</v>
      </c>
      <c r="H99">
        <v>2004</v>
      </c>
      <c r="I99" s="1">
        <v>972</v>
      </c>
      <c r="J99" s="1">
        <v>1080</v>
      </c>
    </row>
    <row r="100" spans="1:11" x14ac:dyDescent="0.35">
      <c r="A100">
        <v>431698</v>
      </c>
      <c r="B100">
        <v>1200015</v>
      </c>
      <c r="C100" t="str">
        <f>"JESSE JACKSON ACADEMY"</f>
        <v>JESSE JACKSON ACADEMY</v>
      </c>
      <c r="D100" t="s">
        <v>11</v>
      </c>
      <c r="E100" t="s">
        <v>136</v>
      </c>
      <c r="F100" t="s">
        <v>21</v>
      </c>
      <c r="G100">
        <v>77021</v>
      </c>
      <c r="H100">
        <v>2004</v>
      </c>
      <c r="I100" s="1">
        <v>0</v>
      </c>
      <c r="J100" s="1">
        <v>0</v>
      </c>
    </row>
    <row r="101" spans="1:11" x14ac:dyDescent="0.35">
      <c r="A101">
        <v>411278</v>
      </c>
      <c r="B101">
        <v>1168775</v>
      </c>
      <c r="C101" t="str">
        <f>"JUBILEE ACADEMIC CENTER"</f>
        <v>JUBILEE ACADEMIC CENTER</v>
      </c>
      <c r="D101" t="s">
        <v>11</v>
      </c>
      <c r="E101" t="s">
        <v>137</v>
      </c>
      <c r="F101" t="s">
        <v>19</v>
      </c>
      <c r="G101">
        <v>78222</v>
      </c>
      <c r="H101">
        <v>2004</v>
      </c>
      <c r="I101" s="1">
        <v>3499.2</v>
      </c>
      <c r="J101" s="1">
        <v>3888</v>
      </c>
    </row>
    <row r="102" spans="1:11" x14ac:dyDescent="0.35">
      <c r="A102">
        <v>415407</v>
      </c>
      <c r="B102">
        <v>1168675</v>
      </c>
      <c r="C102" t="str">
        <f>"JUBILEE ACADEMIC CENTER-OMEGA CAMPUS"</f>
        <v>JUBILEE ACADEMIC CENTER-OMEGA CAMPUS</v>
      </c>
      <c r="D102" t="s">
        <v>11</v>
      </c>
      <c r="E102" t="s">
        <v>138</v>
      </c>
      <c r="F102" t="s">
        <v>19</v>
      </c>
      <c r="G102">
        <v>78214</v>
      </c>
      <c r="H102">
        <v>2004</v>
      </c>
      <c r="I102" s="1">
        <v>0</v>
      </c>
      <c r="J102" s="1">
        <v>13200</v>
      </c>
    </row>
    <row r="103" spans="1:11" x14ac:dyDescent="0.35">
      <c r="A103">
        <v>415914</v>
      </c>
      <c r="B103">
        <v>1143202</v>
      </c>
      <c r="C103" t="str">
        <f>"JULIETTE FOWLER HOMES INC."</f>
        <v>JULIETTE FOWLER HOMES INC.</v>
      </c>
      <c r="D103" t="s">
        <v>11</v>
      </c>
      <c r="E103" t="s">
        <v>139</v>
      </c>
      <c r="F103" t="s">
        <v>13</v>
      </c>
      <c r="G103">
        <v>75214</v>
      </c>
      <c r="H103">
        <v>2004</v>
      </c>
      <c r="I103" s="1">
        <v>1812.78</v>
      </c>
      <c r="J103" s="1">
        <v>2014.2</v>
      </c>
    </row>
    <row r="104" spans="1:11" x14ac:dyDescent="0.35">
      <c r="A104">
        <v>406136</v>
      </c>
      <c r="B104">
        <v>1146020</v>
      </c>
      <c r="C104" t="str">
        <f>"KANDY STRIPE CHARTER SCHOOL"</f>
        <v>KANDY STRIPE CHARTER SCHOOL</v>
      </c>
      <c r="D104" t="s">
        <v>11</v>
      </c>
      <c r="E104" t="s">
        <v>140</v>
      </c>
      <c r="F104" t="s">
        <v>21</v>
      </c>
      <c r="G104">
        <v>77033</v>
      </c>
      <c r="H104">
        <v>2004</v>
      </c>
      <c r="I104" s="1">
        <v>0</v>
      </c>
      <c r="J104" s="1">
        <v>0</v>
      </c>
    </row>
    <row r="105" spans="1:11" x14ac:dyDescent="0.35">
      <c r="A105">
        <v>398954</v>
      </c>
      <c r="B105">
        <v>1191508</v>
      </c>
      <c r="C105" t="str">
        <f>"KENDLETON INDEP SCHOOL DIST"</f>
        <v>KENDLETON INDEP SCHOOL DIST</v>
      </c>
      <c r="D105" t="s">
        <v>11</v>
      </c>
      <c r="E105" t="s">
        <v>141</v>
      </c>
      <c r="F105" t="s">
        <v>142</v>
      </c>
      <c r="G105">
        <v>77451</v>
      </c>
      <c r="H105">
        <v>2004</v>
      </c>
      <c r="I105" s="1">
        <v>217.3</v>
      </c>
      <c r="J105" s="1">
        <v>263.39999999999998</v>
      </c>
      <c r="K105" s="1">
        <v>197.54</v>
      </c>
    </row>
    <row r="106" spans="1:11" x14ac:dyDescent="0.35">
      <c r="A106">
        <v>398954</v>
      </c>
      <c r="B106">
        <v>1191595</v>
      </c>
      <c r="C106" t="str">
        <f>"KENDLETON INDEP SCHOOL DIST"</f>
        <v>KENDLETON INDEP SCHOOL DIST</v>
      </c>
      <c r="D106" t="s">
        <v>11</v>
      </c>
      <c r="E106" t="s">
        <v>141</v>
      </c>
      <c r="F106" t="s">
        <v>142</v>
      </c>
      <c r="G106">
        <v>77451</v>
      </c>
      <c r="H106">
        <v>2004</v>
      </c>
      <c r="I106" s="1">
        <v>6781.5</v>
      </c>
      <c r="J106" s="1">
        <v>8220</v>
      </c>
      <c r="K106" s="1">
        <v>6781.5</v>
      </c>
    </row>
    <row r="107" spans="1:11" x14ac:dyDescent="0.35">
      <c r="A107">
        <v>419701</v>
      </c>
      <c r="B107">
        <v>1159787</v>
      </c>
      <c r="C107" t="str">
        <f>"KERRVILLE INDEP SCHOOL DIST"</f>
        <v>KERRVILLE INDEP SCHOOL DIST</v>
      </c>
      <c r="D107" t="s">
        <v>11</v>
      </c>
      <c r="E107" t="s">
        <v>143</v>
      </c>
      <c r="F107" t="s">
        <v>144</v>
      </c>
      <c r="G107">
        <v>78028</v>
      </c>
      <c r="H107">
        <v>2004</v>
      </c>
      <c r="I107" s="1">
        <v>13125.67</v>
      </c>
      <c r="J107" s="1">
        <v>18750.96</v>
      </c>
      <c r="K107" s="1">
        <v>7462.68</v>
      </c>
    </row>
    <row r="108" spans="1:11" x14ac:dyDescent="0.35">
      <c r="A108">
        <v>419701</v>
      </c>
      <c r="B108">
        <v>1159715</v>
      </c>
      <c r="C108" t="str">
        <f>"KERRVILLE INDEP SCHOOL DIST"</f>
        <v>KERRVILLE INDEP SCHOOL DIST</v>
      </c>
      <c r="D108" t="s">
        <v>11</v>
      </c>
      <c r="E108" t="s">
        <v>143</v>
      </c>
      <c r="F108" t="s">
        <v>144</v>
      </c>
      <c r="G108">
        <v>78028</v>
      </c>
      <c r="H108">
        <v>2004</v>
      </c>
      <c r="I108" s="1">
        <v>11340</v>
      </c>
      <c r="J108" s="1">
        <v>16200</v>
      </c>
      <c r="K108" s="1">
        <v>11340</v>
      </c>
    </row>
    <row r="109" spans="1:11" x14ac:dyDescent="0.35">
      <c r="A109">
        <v>433110</v>
      </c>
      <c r="B109">
        <v>1205957</v>
      </c>
      <c r="C109" t="str">
        <f>"KIPP ACADEMY"</f>
        <v>KIPP ACADEMY</v>
      </c>
      <c r="D109" t="s">
        <v>11</v>
      </c>
      <c r="E109" t="s">
        <v>145</v>
      </c>
      <c r="F109" t="s">
        <v>21</v>
      </c>
      <c r="G109">
        <v>77099</v>
      </c>
      <c r="H109">
        <v>2004</v>
      </c>
      <c r="I109" s="1">
        <v>7365.6</v>
      </c>
      <c r="J109" s="1">
        <v>8184</v>
      </c>
      <c r="K109" s="1">
        <v>7365.6</v>
      </c>
    </row>
    <row r="110" spans="1:11" x14ac:dyDescent="0.35">
      <c r="A110">
        <v>422312</v>
      </c>
      <c r="B110">
        <v>1190135</v>
      </c>
      <c r="C110" t="str">
        <f>"KIPP: AUSTIN COLLEGE PREPARATORY ACADEMY"</f>
        <v>KIPP: AUSTIN COLLEGE PREPARATORY ACADEMY</v>
      </c>
      <c r="D110" t="s">
        <v>11</v>
      </c>
      <c r="E110" t="s">
        <v>146</v>
      </c>
      <c r="F110" t="s">
        <v>60</v>
      </c>
      <c r="G110">
        <v>78741</v>
      </c>
      <c r="H110">
        <v>2004</v>
      </c>
      <c r="I110" s="1">
        <v>438.75</v>
      </c>
      <c r="J110" s="1">
        <v>487.5</v>
      </c>
      <c r="K110" s="1">
        <v>438.75</v>
      </c>
    </row>
    <row r="111" spans="1:11" x14ac:dyDescent="0.35">
      <c r="A111">
        <v>422312</v>
      </c>
      <c r="B111">
        <v>1190023</v>
      </c>
      <c r="C111" t="str">
        <f>"KIPP: AUSTIN COLLEGE PREPARATORY ACADEMY"</f>
        <v>KIPP: AUSTIN COLLEGE PREPARATORY ACADEMY</v>
      </c>
      <c r="D111" t="s">
        <v>11</v>
      </c>
      <c r="E111" t="s">
        <v>146</v>
      </c>
      <c r="F111" t="s">
        <v>60</v>
      </c>
      <c r="G111">
        <v>78741</v>
      </c>
      <c r="H111">
        <v>2004</v>
      </c>
      <c r="I111" s="1">
        <v>0</v>
      </c>
      <c r="J111" s="1">
        <v>0</v>
      </c>
    </row>
    <row r="112" spans="1:11" x14ac:dyDescent="0.35">
      <c r="A112">
        <v>390570</v>
      </c>
      <c r="B112">
        <v>1070185</v>
      </c>
      <c r="C112" t="str">
        <f>"KOPPERL SCHOOL DISTRICT"</f>
        <v>KOPPERL SCHOOL DISTRICT</v>
      </c>
      <c r="D112" t="s">
        <v>11</v>
      </c>
      <c r="E112" t="s">
        <v>147</v>
      </c>
      <c r="F112" t="s">
        <v>148</v>
      </c>
      <c r="G112">
        <v>76652</v>
      </c>
      <c r="H112">
        <v>2004</v>
      </c>
      <c r="I112" s="1">
        <v>8320</v>
      </c>
      <c r="J112" s="1">
        <v>12480</v>
      </c>
      <c r="K112" s="1">
        <v>0</v>
      </c>
    </row>
    <row r="113" spans="1:11" x14ac:dyDescent="0.35">
      <c r="A113">
        <v>432981</v>
      </c>
      <c r="B113">
        <v>1205548</v>
      </c>
      <c r="C113" t="str">
        <f>"LA ROCHELLE ACADEMY"</f>
        <v>LA ROCHELLE ACADEMY</v>
      </c>
      <c r="D113" t="s">
        <v>11</v>
      </c>
      <c r="E113" t="s">
        <v>149</v>
      </c>
      <c r="F113" t="s">
        <v>21</v>
      </c>
      <c r="G113">
        <v>77035</v>
      </c>
      <c r="H113">
        <v>2004</v>
      </c>
      <c r="I113" s="1">
        <v>0</v>
      </c>
      <c r="J113" s="1">
        <v>0</v>
      </c>
    </row>
    <row r="114" spans="1:11" x14ac:dyDescent="0.35">
      <c r="A114">
        <v>433152</v>
      </c>
      <c r="B114">
        <v>1206209</v>
      </c>
      <c r="C114" t="str">
        <f>"LA ROCHELLE ACADEMY K"</f>
        <v>LA ROCHELLE ACADEMY K</v>
      </c>
      <c r="D114" t="s">
        <v>11</v>
      </c>
      <c r="E114" t="s">
        <v>150</v>
      </c>
      <c r="F114" t="s">
        <v>21</v>
      </c>
      <c r="G114">
        <v>77035</v>
      </c>
      <c r="H114">
        <v>2004</v>
      </c>
      <c r="I114" s="1">
        <v>0</v>
      </c>
      <c r="J114" s="1">
        <v>0</v>
      </c>
    </row>
    <row r="115" spans="1:11" x14ac:dyDescent="0.35">
      <c r="A115">
        <v>397691</v>
      </c>
      <c r="B115">
        <v>1109384</v>
      </c>
      <c r="C115" t="str">
        <f>"LOOP INDEP SCHOOL DISTRICT"</f>
        <v>LOOP INDEP SCHOOL DISTRICT</v>
      </c>
      <c r="D115" t="s">
        <v>11</v>
      </c>
      <c r="E115" t="s">
        <v>151</v>
      </c>
      <c r="F115" t="s">
        <v>152</v>
      </c>
      <c r="G115">
        <v>79342</v>
      </c>
      <c r="H115">
        <v>2004</v>
      </c>
      <c r="I115" s="1">
        <v>4320</v>
      </c>
      <c r="J115" s="1">
        <v>5400</v>
      </c>
      <c r="K115" s="1">
        <v>4320</v>
      </c>
    </row>
    <row r="116" spans="1:11" x14ac:dyDescent="0.35">
      <c r="A116">
        <v>403124</v>
      </c>
      <c r="B116">
        <v>1103855</v>
      </c>
      <c r="C116" t="str">
        <f>"LORAINE INDEP SCHOOL DISTRICT"</f>
        <v>LORAINE INDEP SCHOOL DISTRICT</v>
      </c>
      <c r="D116" t="s">
        <v>11</v>
      </c>
      <c r="E116" t="s">
        <v>153</v>
      </c>
      <c r="F116" t="s">
        <v>154</v>
      </c>
      <c r="G116">
        <v>79532</v>
      </c>
      <c r="H116">
        <v>2004</v>
      </c>
      <c r="I116" s="1">
        <v>0</v>
      </c>
      <c r="J116" s="1">
        <v>0</v>
      </c>
    </row>
    <row r="117" spans="1:11" x14ac:dyDescent="0.35">
      <c r="A117">
        <v>390848</v>
      </c>
      <c r="B117">
        <v>1072967</v>
      </c>
      <c r="C117" t="str">
        <f>"MEADOW INDEP SCHOOL DISTRICT"</f>
        <v>MEADOW INDEP SCHOOL DISTRICT</v>
      </c>
      <c r="D117" t="s">
        <v>11</v>
      </c>
      <c r="E117" t="s">
        <v>155</v>
      </c>
      <c r="F117" t="s">
        <v>58</v>
      </c>
      <c r="G117">
        <v>79345</v>
      </c>
      <c r="H117">
        <v>2004</v>
      </c>
      <c r="I117" s="1">
        <v>4320</v>
      </c>
      <c r="J117" s="1">
        <v>5400</v>
      </c>
    </row>
    <row r="118" spans="1:11" x14ac:dyDescent="0.35">
      <c r="A118">
        <v>428373</v>
      </c>
      <c r="B118">
        <v>1187229</v>
      </c>
      <c r="C118" t="str">
        <f>"METRO CHARTER ACADEMY"</f>
        <v>METRO CHARTER ACADEMY</v>
      </c>
      <c r="D118" t="s">
        <v>11</v>
      </c>
      <c r="E118" t="s">
        <v>156</v>
      </c>
      <c r="F118" t="s">
        <v>157</v>
      </c>
      <c r="G118">
        <v>76011</v>
      </c>
      <c r="H118">
        <v>2004</v>
      </c>
      <c r="I118" s="1">
        <v>0</v>
      </c>
      <c r="J118" s="1">
        <v>0</v>
      </c>
    </row>
    <row r="119" spans="1:11" x14ac:dyDescent="0.35">
      <c r="A119">
        <v>430539</v>
      </c>
      <c r="B119">
        <v>1195138</v>
      </c>
      <c r="C119" t="str">
        <f>"METRO CHARTER ACADEMY"</f>
        <v>METRO CHARTER ACADEMY</v>
      </c>
      <c r="D119" t="s">
        <v>11</v>
      </c>
      <c r="E119" t="s">
        <v>156</v>
      </c>
      <c r="F119" t="s">
        <v>157</v>
      </c>
      <c r="G119">
        <v>76011</v>
      </c>
      <c r="H119">
        <v>2004</v>
      </c>
      <c r="I119" s="1">
        <v>0</v>
      </c>
      <c r="J119" s="1">
        <v>0</v>
      </c>
    </row>
    <row r="120" spans="1:11" x14ac:dyDescent="0.35">
      <c r="A120">
        <v>395879</v>
      </c>
      <c r="B120">
        <v>1082091</v>
      </c>
      <c r="C120" t="str">
        <f>"MEYERSVILLE INDEP SCHOOL DIST"</f>
        <v>MEYERSVILLE INDEP SCHOOL DIST</v>
      </c>
      <c r="D120" t="s">
        <v>11</v>
      </c>
      <c r="E120" t="s">
        <v>158</v>
      </c>
      <c r="F120" t="s">
        <v>159</v>
      </c>
      <c r="G120">
        <v>77974</v>
      </c>
      <c r="H120">
        <v>2004</v>
      </c>
      <c r="I120" s="1">
        <v>3456</v>
      </c>
      <c r="J120" s="1">
        <v>5760</v>
      </c>
      <c r="K120" s="1">
        <v>2776.5</v>
      </c>
    </row>
    <row r="121" spans="1:11" x14ac:dyDescent="0.35">
      <c r="A121">
        <v>387108</v>
      </c>
      <c r="B121">
        <v>1064030</v>
      </c>
      <c r="C121" t="str">
        <f>"MONROE HARDING CHILDRENS HOME"</f>
        <v>MONROE HARDING CHILDRENS HOME</v>
      </c>
      <c r="D121" t="s">
        <v>11</v>
      </c>
      <c r="E121" t="s">
        <v>160</v>
      </c>
      <c r="F121" t="s">
        <v>161</v>
      </c>
      <c r="G121">
        <v>37204</v>
      </c>
      <c r="H121">
        <v>2004</v>
      </c>
      <c r="I121" s="1">
        <v>6480</v>
      </c>
      <c r="J121" s="1">
        <v>7200</v>
      </c>
      <c r="K121" s="1">
        <v>4104</v>
      </c>
    </row>
    <row r="122" spans="1:11" x14ac:dyDescent="0.35">
      <c r="A122">
        <v>389651</v>
      </c>
      <c r="B122">
        <v>1109455</v>
      </c>
      <c r="C122" t="str">
        <f>"MORGAN MILL ELEM &amp; JR HIGH SCH"</f>
        <v>MORGAN MILL ELEM &amp; JR HIGH SCH</v>
      </c>
      <c r="D122" t="s">
        <v>11</v>
      </c>
      <c r="E122" t="s">
        <v>162</v>
      </c>
      <c r="F122" t="s">
        <v>163</v>
      </c>
      <c r="G122">
        <v>76465</v>
      </c>
      <c r="H122">
        <v>2004</v>
      </c>
      <c r="I122" s="1">
        <v>2304</v>
      </c>
      <c r="J122" s="1">
        <v>2880</v>
      </c>
      <c r="K122" s="1">
        <v>2304</v>
      </c>
    </row>
    <row r="123" spans="1:11" x14ac:dyDescent="0.35">
      <c r="A123">
        <v>389651</v>
      </c>
      <c r="B123">
        <v>1109534</v>
      </c>
      <c r="C123" t="str">
        <f>"MORGAN MILL ELEM &amp; JR HIGH SCH"</f>
        <v>MORGAN MILL ELEM &amp; JR HIGH SCH</v>
      </c>
      <c r="D123" t="s">
        <v>11</v>
      </c>
      <c r="E123" t="s">
        <v>162</v>
      </c>
      <c r="F123" t="s">
        <v>163</v>
      </c>
      <c r="G123">
        <v>76465</v>
      </c>
      <c r="H123">
        <v>2004</v>
      </c>
      <c r="I123" s="1">
        <v>2284.8000000000002</v>
      </c>
      <c r="J123" s="1">
        <v>2856</v>
      </c>
      <c r="K123" s="1">
        <v>2284.8000000000002</v>
      </c>
    </row>
    <row r="124" spans="1:11" x14ac:dyDescent="0.35">
      <c r="A124">
        <v>413242</v>
      </c>
      <c r="B124">
        <v>1163554</v>
      </c>
      <c r="C124" t="str">
        <f>"MSGR KELLY CATHOLIC HIGH SCH"</f>
        <v>MSGR KELLY CATHOLIC HIGH SCH</v>
      </c>
      <c r="D124" t="s">
        <v>11</v>
      </c>
      <c r="E124" t="s">
        <v>164</v>
      </c>
      <c r="F124" t="s">
        <v>165</v>
      </c>
      <c r="G124">
        <v>77707</v>
      </c>
      <c r="H124">
        <v>2004</v>
      </c>
      <c r="I124" s="1">
        <v>2400</v>
      </c>
      <c r="J124" s="1">
        <v>6000</v>
      </c>
      <c r="K124" s="1">
        <v>1851</v>
      </c>
    </row>
    <row r="125" spans="1:11" x14ac:dyDescent="0.35">
      <c r="A125">
        <v>415487</v>
      </c>
      <c r="B125">
        <v>1159084</v>
      </c>
      <c r="C125" t="str">
        <f>"NEW FRONTIER CHARTER SCHOOL"</f>
        <v>NEW FRONTIER CHARTER SCHOOL</v>
      </c>
      <c r="D125" t="s">
        <v>11</v>
      </c>
      <c r="E125" t="s">
        <v>166</v>
      </c>
      <c r="F125" t="s">
        <v>19</v>
      </c>
      <c r="G125">
        <v>78223</v>
      </c>
      <c r="H125">
        <v>2004</v>
      </c>
      <c r="I125" s="1">
        <v>0</v>
      </c>
      <c r="J125" s="1">
        <v>0</v>
      </c>
    </row>
    <row r="126" spans="1:11" x14ac:dyDescent="0.35">
      <c r="A126">
        <v>433289</v>
      </c>
      <c r="B126">
        <v>1206612</v>
      </c>
      <c r="C126" t="str">
        <f>"NORTH WEST PREPARATORY ACADEMY CHARTER SCHOOL"</f>
        <v>NORTH WEST PREPARATORY ACADEMY CHARTER SCHOOL</v>
      </c>
      <c r="D126" t="s">
        <v>11</v>
      </c>
      <c r="E126" t="s">
        <v>167</v>
      </c>
      <c r="F126" t="s">
        <v>21</v>
      </c>
      <c r="G126">
        <v>77020</v>
      </c>
      <c r="H126">
        <v>2004</v>
      </c>
      <c r="I126" s="1">
        <v>9342</v>
      </c>
      <c r="J126" s="1">
        <v>10380</v>
      </c>
      <c r="K126" s="1">
        <v>8393.25</v>
      </c>
    </row>
    <row r="127" spans="1:11" x14ac:dyDescent="0.35">
      <c r="A127">
        <v>433337</v>
      </c>
      <c r="B127">
        <v>1206725</v>
      </c>
      <c r="C127" t="str">
        <f>"NORTH WEST PREPARATORY ACADEMY CHARTER SCHOOL-MCDUFFIE"</f>
        <v>NORTH WEST PREPARATORY ACADEMY CHARTER SCHOOL-MCDUFFIE</v>
      </c>
      <c r="D127" t="s">
        <v>11</v>
      </c>
      <c r="E127" t="s">
        <v>168</v>
      </c>
      <c r="F127" t="s">
        <v>21</v>
      </c>
      <c r="G127">
        <v>77016</v>
      </c>
      <c r="H127">
        <v>2004</v>
      </c>
      <c r="I127" s="1">
        <v>9331.2000000000007</v>
      </c>
      <c r="J127" s="1">
        <v>10368</v>
      </c>
      <c r="K127" s="1">
        <v>8393.25</v>
      </c>
    </row>
    <row r="128" spans="1:11" x14ac:dyDescent="0.35">
      <c r="A128">
        <v>422186</v>
      </c>
      <c r="B128">
        <v>1164556</v>
      </c>
      <c r="C128" t="str">
        <f>"NOTRE DAME SCHOOL"</f>
        <v>NOTRE DAME SCHOOL</v>
      </c>
      <c r="D128" t="s">
        <v>11</v>
      </c>
      <c r="E128" t="s">
        <v>169</v>
      </c>
      <c r="F128" t="s">
        <v>42</v>
      </c>
      <c r="G128">
        <v>76309</v>
      </c>
      <c r="H128">
        <v>2004</v>
      </c>
      <c r="I128" s="1">
        <v>1080</v>
      </c>
      <c r="J128" s="1">
        <v>5400</v>
      </c>
      <c r="K128" s="1">
        <v>1080</v>
      </c>
    </row>
    <row r="129" spans="1:11" x14ac:dyDescent="0.35">
      <c r="A129">
        <v>408035</v>
      </c>
      <c r="B129">
        <v>1128276</v>
      </c>
      <c r="C129" t="str">
        <f>"NURSERY ELEMENTARY SCHOOL"</f>
        <v>NURSERY ELEMENTARY SCHOOL</v>
      </c>
      <c r="D129" t="s">
        <v>11</v>
      </c>
      <c r="E129" t="s">
        <v>170</v>
      </c>
      <c r="F129" t="s">
        <v>171</v>
      </c>
      <c r="G129">
        <v>77976</v>
      </c>
      <c r="H129">
        <v>2004</v>
      </c>
      <c r="I129" s="1">
        <v>5760</v>
      </c>
      <c r="J129" s="1">
        <v>9600</v>
      </c>
      <c r="K129" s="1">
        <v>5760</v>
      </c>
    </row>
    <row r="130" spans="1:11" x14ac:dyDescent="0.35">
      <c r="A130">
        <v>420557</v>
      </c>
      <c r="B130">
        <v>1159442</v>
      </c>
      <c r="C130" t="str">
        <f>"OAKRIDGE SCHOOL"</f>
        <v>OAKRIDGE SCHOOL</v>
      </c>
      <c r="D130" t="s">
        <v>11</v>
      </c>
      <c r="E130" t="s">
        <v>172</v>
      </c>
      <c r="F130" t="s">
        <v>157</v>
      </c>
      <c r="G130">
        <v>76013</v>
      </c>
      <c r="H130">
        <v>2004</v>
      </c>
      <c r="I130" s="1">
        <v>840</v>
      </c>
      <c r="J130" s="1">
        <v>4200</v>
      </c>
      <c r="K130" s="1">
        <v>840</v>
      </c>
    </row>
    <row r="131" spans="1:11" x14ac:dyDescent="0.35">
      <c r="A131">
        <v>424487</v>
      </c>
      <c r="B131">
        <v>1180516</v>
      </c>
      <c r="C131" t="str">
        <f>"OUR LADY OF GUADALUPE SCHOOL"</f>
        <v>OUR LADY OF GUADALUPE SCHOOL</v>
      </c>
      <c r="D131" t="s">
        <v>11</v>
      </c>
      <c r="E131" t="s">
        <v>173</v>
      </c>
      <c r="F131" t="s">
        <v>21</v>
      </c>
      <c r="G131">
        <v>77003</v>
      </c>
      <c r="H131">
        <v>2004</v>
      </c>
      <c r="I131" s="1">
        <v>3784.5</v>
      </c>
      <c r="J131" s="1">
        <v>7569</v>
      </c>
      <c r="K131" s="1">
        <v>3784.5</v>
      </c>
    </row>
    <row r="132" spans="1:11" x14ac:dyDescent="0.35">
      <c r="A132">
        <v>421015</v>
      </c>
      <c r="B132">
        <v>1162270</v>
      </c>
      <c r="C132" t="str">
        <f>"OUR LADY OF PEACE CATHOLIC SCHOOL"</f>
        <v>OUR LADY OF PEACE CATHOLIC SCHOOL</v>
      </c>
      <c r="D132" t="s">
        <v>11</v>
      </c>
      <c r="E132" t="s">
        <v>174</v>
      </c>
      <c r="F132" t="s">
        <v>19</v>
      </c>
      <c r="G132">
        <v>78207</v>
      </c>
      <c r="H132">
        <v>2004</v>
      </c>
      <c r="I132" s="1">
        <v>864</v>
      </c>
      <c r="J132" s="1">
        <v>1080</v>
      </c>
    </row>
    <row r="133" spans="1:11" x14ac:dyDescent="0.35">
      <c r="A133">
        <v>401029</v>
      </c>
      <c r="B133">
        <v>1096488</v>
      </c>
      <c r="C133" t="str">
        <f>"OUR LADY OF THE GULF CATH SCH"</f>
        <v>OUR LADY OF THE GULF CATH SCH</v>
      </c>
      <c r="D133" t="s">
        <v>11</v>
      </c>
      <c r="E133" t="s">
        <v>175</v>
      </c>
      <c r="F133" t="s">
        <v>176</v>
      </c>
      <c r="G133">
        <v>77979</v>
      </c>
      <c r="H133">
        <v>2004</v>
      </c>
      <c r="I133" s="1">
        <v>0</v>
      </c>
      <c r="J133" s="1">
        <v>0</v>
      </c>
    </row>
    <row r="134" spans="1:11" x14ac:dyDescent="0.35">
      <c r="A134">
        <v>424195</v>
      </c>
      <c r="B134">
        <v>1173139</v>
      </c>
      <c r="C134" t="str">
        <f>"PAINT CREEK INDEP SCHOOL DIST"</f>
        <v>PAINT CREEK INDEP SCHOOL DIST</v>
      </c>
      <c r="D134" t="s">
        <v>11</v>
      </c>
      <c r="E134" t="s">
        <v>177</v>
      </c>
      <c r="F134" t="s">
        <v>178</v>
      </c>
      <c r="G134">
        <v>79521</v>
      </c>
      <c r="H134">
        <v>2004</v>
      </c>
      <c r="I134" s="1">
        <v>26460</v>
      </c>
      <c r="J134" s="1">
        <v>29400</v>
      </c>
    </row>
    <row r="135" spans="1:11" x14ac:dyDescent="0.35">
      <c r="A135">
        <v>425084</v>
      </c>
      <c r="B135">
        <v>1175411</v>
      </c>
      <c r="C135" t="str">
        <f>"PAWNEE SCHOOL"</f>
        <v>PAWNEE SCHOOL</v>
      </c>
      <c r="D135" t="s">
        <v>11</v>
      </c>
      <c r="E135" t="s">
        <v>179</v>
      </c>
      <c r="F135" t="s">
        <v>180</v>
      </c>
      <c r="G135">
        <v>78145</v>
      </c>
      <c r="H135">
        <v>2004</v>
      </c>
      <c r="I135" s="1">
        <v>7918.51</v>
      </c>
      <c r="J135" s="1">
        <v>11312.16</v>
      </c>
      <c r="K135" s="1">
        <v>7918.51</v>
      </c>
    </row>
    <row r="136" spans="1:11" x14ac:dyDescent="0.35">
      <c r="A136">
        <v>415019</v>
      </c>
      <c r="B136">
        <v>1155043</v>
      </c>
      <c r="C136" t="str">
        <f>"PENELOPE INDEP SCHOOL DISTRICT"</f>
        <v>PENELOPE INDEP SCHOOL DISTRICT</v>
      </c>
      <c r="D136" t="s">
        <v>11</v>
      </c>
      <c r="E136" t="s">
        <v>181</v>
      </c>
      <c r="F136" t="s">
        <v>182</v>
      </c>
      <c r="G136">
        <v>76676</v>
      </c>
      <c r="H136">
        <v>2004</v>
      </c>
      <c r="I136" s="1">
        <v>9792</v>
      </c>
      <c r="J136" s="1">
        <v>12240</v>
      </c>
    </row>
    <row r="137" spans="1:11" x14ac:dyDescent="0.35">
      <c r="A137">
        <v>435110</v>
      </c>
      <c r="B137">
        <v>1213018</v>
      </c>
      <c r="C137" t="str">
        <f>"PEP HIGH SCHOOL"</f>
        <v>PEP HIGH SCHOOL</v>
      </c>
      <c r="D137" t="s">
        <v>11</v>
      </c>
      <c r="E137" t="s">
        <v>183</v>
      </c>
      <c r="F137" t="s">
        <v>184</v>
      </c>
      <c r="G137">
        <v>79353</v>
      </c>
      <c r="H137">
        <v>2004</v>
      </c>
      <c r="I137" s="1">
        <v>5183.46</v>
      </c>
      <c r="J137" s="1">
        <v>5759.4</v>
      </c>
      <c r="K137" s="1">
        <v>5129.6099999999997</v>
      </c>
    </row>
    <row r="138" spans="1:11" x14ac:dyDescent="0.35">
      <c r="A138">
        <v>410171</v>
      </c>
      <c r="B138">
        <v>1170522</v>
      </c>
      <c r="C138" t="str">
        <f>"PLEASANT HILL ACADEMY"</f>
        <v>PLEASANT HILL ACADEMY</v>
      </c>
      <c r="D138" t="s">
        <v>11</v>
      </c>
      <c r="E138" t="s">
        <v>185</v>
      </c>
      <c r="F138" t="s">
        <v>21</v>
      </c>
      <c r="G138">
        <v>77020</v>
      </c>
      <c r="H138">
        <v>2004</v>
      </c>
      <c r="I138" s="1">
        <v>203.04</v>
      </c>
      <c r="J138" s="1">
        <v>225.6</v>
      </c>
    </row>
    <row r="139" spans="1:11" x14ac:dyDescent="0.35">
      <c r="A139">
        <v>400270</v>
      </c>
      <c r="B139">
        <v>1094515</v>
      </c>
      <c r="C139" t="str">
        <f>"PRO-VISION SCHOOL OF TECHNOLOGY"</f>
        <v>PRO-VISION SCHOOL OF TECHNOLOGY</v>
      </c>
      <c r="D139" t="s">
        <v>11</v>
      </c>
      <c r="E139" t="s">
        <v>186</v>
      </c>
      <c r="F139" t="s">
        <v>21</v>
      </c>
      <c r="G139">
        <v>77021</v>
      </c>
      <c r="H139">
        <v>2004</v>
      </c>
      <c r="I139" s="1">
        <v>810</v>
      </c>
      <c r="J139" s="1">
        <v>900</v>
      </c>
      <c r="K139" s="1">
        <v>693.08</v>
      </c>
    </row>
    <row r="140" spans="1:11" x14ac:dyDescent="0.35">
      <c r="A140">
        <v>420885</v>
      </c>
      <c r="B140">
        <v>1162210</v>
      </c>
      <c r="C140" t="str">
        <f>"RAMIREZ COMMON SCHOOL DISTRICT"</f>
        <v>RAMIREZ COMMON SCHOOL DISTRICT</v>
      </c>
      <c r="D140" t="s">
        <v>11</v>
      </c>
      <c r="E140" t="s">
        <v>187</v>
      </c>
      <c r="F140" t="s">
        <v>188</v>
      </c>
      <c r="G140">
        <v>78376</v>
      </c>
      <c r="H140">
        <v>2004</v>
      </c>
      <c r="I140" s="1">
        <v>0</v>
      </c>
      <c r="J140" s="1">
        <v>0</v>
      </c>
    </row>
    <row r="141" spans="1:11" x14ac:dyDescent="0.35">
      <c r="A141">
        <v>398038</v>
      </c>
      <c r="B141">
        <v>1159017</v>
      </c>
      <c r="C141" t="str">
        <f>"RAUL YZAGUIRRE SCHOOL FOR SUCCESS"</f>
        <v>RAUL YZAGUIRRE SCHOOL FOR SUCCESS</v>
      </c>
      <c r="D141" t="s">
        <v>11</v>
      </c>
      <c r="E141" t="s">
        <v>189</v>
      </c>
      <c r="F141" t="s">
        <v>21</v>
      </c>
      <c r="G141">
        <v>77017</v>
      </c>
      <c r="H141">
        <v>2004</v>
      </c>
      <c r="I141" s="1">
        <v>0</v>
      </c>
      <c r="J141" s="1">
        <v>0</v>
      </c>
    </row>
    <row r="142" spans="1:11" x14ac:dyDescent="0.35">
      <c r="A142">
        <v>414629</v>
      </c>
      <c r="B142">
        <v>1175254</v>
      </c>
      <c r="C142" t="str">
        <f>"REGENTS SCHOOL OF AUSTIN"</f>
        <v>REGENTS SCHOOL OF AUSTIN</v>
      </c>
      <c r="D142" t="s">
        <v>11</v>
      </c>
      <c r="E142" t="s">
        <v>190</v>
      </c>
      <c r="F142" t="s">
        <v>60</v>
      </c>
      <c r="G142">
        <v>78735</v>
      </c>
      <c r="H142">
        <v>2004</v>
      </c>
      <c r="I142" s="1">
        <v>0</v>
      </c>
      <c r="J142" s="1">
        <v>0</v>
      </c>
    </row>
    <row r="143" spans="1:11" x14ac:dyDescent="0.35">
      <c r="A143">
        <v>406867</v>
      </c>
      <c r="B143">
        <v>1154942</v>
      </c>
      <c r="C143" t="str">
        <f>"RIO GRANDE MARINE INSTITUTE"</f>
        <v>RIO GRANDE MARINE INSTITUTE</v>
      </c>
      <c r="D143" t="s">
        <v>11</v>
      </c>
      <c r="E143" t="s">
        <v>191</v>
      </c>
      <c r="F143" t="s">
        <v>192</v>
      </c>
      <c r="G143">
        <v>78566</v>
      </c>
      <c r="H143">
        <v>2004</v>
      </c>
      <c r="I143" s="1">
        <v>2160</v>
      </c>
      <c r="J143" s="1">
        <v>2400</v>
      </c>
      <c r="K143" s="1">
        <v>2160</v>
      </c>
    </row>
    <row r="144" spans="1:11" x14ac:dyDescent="0.35">
      <c r="A144">
        <v>388225</v>
      </c>
      <c r="B144">
        <v>1065811</v>
      </c>
      <c r="C144" t="str">
        <f>"RIVER OAKS BAPTIST SCHOOL"</f>
        <v>RIVER OAKS BAPTIST SCHOOL</v>
      </c>
      <c r="D144" t="s">
        <v>11</v>
      </c>
      <c r="E144" t="s">
        <v>193</v>
      </c>
      <c r="F144" t="s">
        <v>21</v>
      </c>
      <c r="G144">
        <v>77027</v>
      </c>
      <c r="H144">
        <v>2004</v>
      </c>
      <c r="I144" s="1">
        <v>384</v>
      </c>
      <c r="J144" s="1">
        <v>1920</v>
      </c>
      <c r="K144" s="1">
        <v>383.88</v>
      </c>
    </row>
    <row r="145" spans="1:11" x14ac:dyDescent="0.35">
      <c r="A145">
        <v>420144</v>
      </c>
      <c r="B145">
        <v>1158182</v>
      </c>
      <c r="C145" t="str">
        <f>"ROCHESTER INDEPENDENT SCHOOL DISTRICT"</f>
        <v>ROCHESTER INDEPENDENT SCHOOL DISTRICT</v>
      </c>
      <c r="D145" t="s">
        <v>11</v>
      </c>
      <c r="E145" t="s">
        <v>194</v>
      </c>
      <c r="F145" t="s">
        <v>195</v>
      </c>
      <c r="G145">
        <v>79544</v>
      </c>
      <c r="H145">
        <v>2004</v>
      </c>
      <c r="I145" s="1">
        <v>0</v>
      </c>
      <c r="J145" s="1">
        <v>0</v>
      </c>
    </row>
    <row r="146" spans="1:11" x14ac:dyDescent="0.35">
      <c r="A146">
        <v>420722</v>
      </c>
      <c r="B146">
        <v>1159467</v>
      </c>
      <c r="C146" t="str">
        <f>"ROPES INDEPENDENT SCHOOL DIST"</f>
        <v>ROPES INDEPENDENT SCHOOL DIST</v>
      </c>
      <c r="D146" t="s">
        <v>11</v>
      </c>
      <c r="E146" t="s">
        <v>196</v>
      </c>
      <c r="F146" t="s">
        <v>197</v>
      </c>
      <c r="G146">
        <v>79358</v>
      </c>
      <c r="H146">
        <v>2004</v>
      </c>
      <c r="I146" s="1">
        <v>624</v>
      </c>
      <c r="J146" s="1">
        <v>780</v>
      </c>
      <c r="K146" s="1">
        <v>624</v>
      </c>
    </row>
    <row r="147" spans="1:11" x14ac:dyDescent="0.35">
      <c r="A147">
        <v>387612</v>
      </c>
      <c r="B147">
        <v>1064846</v>
      </c>
      <c r="C147" t="str">
        <f>"SACRED HEART ELEMENTARY SCHOOL"</f>
        <v>SACRED HEART ELEMENTARY SCHOOL</v>
      </c>
      <c r="D147" t="s">
        <v>11</v>
      </c>
      <c r="E147" t="s">
        <v>198</v>
      </c>
      <c r="F147" t="s">
        <v>199</v>
      </c>
      <c r="G147">
        <v>78382</v>
      </c>
      <c r="H147">
        <v>2004</v>
      </c>
      <c r="I147" s="1">
        <v>1343.58</v>
      </c>
      <c r="J147" s="1">
        <v>1919.4</v>
      </c>
      <c r="K147" s="1">
        <v>1119.6400000000001</v>
      </c>
    </row>
    <row r="148" spans="1:11" x14ac:dyDescent="0.35">
      <c r="A148">
        <v>413640</v>
      </c>
      <c r="B148">
        <v>1136394</v>
      </c>
      <c r="C148" t="str">
        <f>"SAM RAYBURN INDEP SCH DISTRICT"</f>
        <v>SAM RAYBURN INDEP SCH DISTRICT</v>
      </c>
      <c r="D148" t="s">
        <v>11</v>
      </c>
      <c r="E148" t="s">
        <v>200</v>
      </c>
      <c r="F148" t="s">
        <v>201</v>
      </c>
      <c r="G148">
        <v>75447</v>
      </c>
      <c r="H148">
        <v>2004</v>
      </c>
      <c r="I148" s="1">
        <v>0</v>
      </c>
      <c r="J148" s="1">
        <v>0</v>
      </c>
    </row>
    <row r="149" spans="1:11" x14ac:dyDescent="0.35">
      <c r="A149">
        <v>416602</v>
      </c>
      <c r="B149">
        <v>1174275</v>
      </c>
      <c r="C149" t="str">
        <f>"SANFORD ISD CHAMPS ACADEMY"</f>
        <v>SANFORD ISD CHAMPS ACADEMY</v>
      </c>
      <c r="D149" t="s">
        <v>11</v>
      </c>
      <c r="E149" t="s">
        <v>202</v>
      </c>
      <c r="F149" t="s">
        <v>203</v>
      </c>
      <c r="G149">
        <v>79036</v>
      </c>
      <c r="H149">
        <v>2004</v>
      </c>
      <c r="I149" s="1">
        <v>2400</v>
      </c>
      <c r="J149" s="1">
        <v>3000</v>
      </c>
      <c r="K149" s="1">
        <v>2400</v>
      </c>
    </row>
    <row r="150" spans="1:11" x14ac:dyDescent="0.35">
      <c r="A150">
        <v>418628</v>
      </c>
      <c r="B150">
        <v>1192533</v>
      </c>
      <c r="C150" t="str">
        <f>"SCHOOL OF EXCELLENCE IN EDUCATION CHARTER SCHOOL"</f>
        <v>SCHOOL OF EXCELLENCE IN EDUCATION CHARTER SCHOOL</v>
      </c>
      <c r="D150" t="s">
        <v>11</v>
      </c>
      <c r="E150" t="s">
        <v>204</v>
      </c>
      <c r="F150" t="s">
        <v>19</v>
      </c>
      <c r="G150">
        <v>78216</v>
      </c>
      <c r="H150">
        <v>2004</v>
      </c>
      <c r="I150" s="1">
        <v>14553</v>
      </c>
      <c r="J150" s="1">
        <v>16170</v>
      </c>
      <c r="K150" s="1">
        <v>14553</v>
      </c>
    </row>
    <row r="151" spans="1:11" x14ac:dyDescent="0.35">
      <c r="A151">
        <v>418643</v>
      </c>
      <c r="B151">
        <v>1193145</v>
      </c>
      <c r="C151" t="str">
        <f>"SCHOOL OF EXCELLENCE IN EDUCATION CHARTER SCHOOL-ALPHA 2 CAMPUS"</f>
        <v>SCHOOL OF EXCELLENCE IN EDUCATION CHARTER SCHOOL-ALPHA 2 CAMPUS</v>
      </c>
      <c r="D151" t="s">
        <v>11</v>
      </c>
      <c r="E151" t="s">
        <v>205</v>
      </c>
      <c r="F151" t="s">
        <v>19</v>
      </c>
      <c r="G151">
        <v>78216</v>
      </c>
      <c r="H151">
        <v>2004</v>
      </c>
      <c r="I151" s="1">
        <v>4644</v>
      </c>
      <c r="J151" s="1">
        <v>5160</v>
      </c>
      <c r="K151" s="1">
        <v>4644</v>
      </c>
    </row>
    <row r="152" spans="1:11" x14ac:dyDescent="0.35">
      <c r="A152">
        <v>397125</v>
      </c>
      <c r="B152">
        <v>1085571</v>
      </c>
      <c r="C152" t="str">
        <f>"SEASHORE LEARNING CENTER"</f>
        <v>SEASHORE LEARNING CENTER</v>
      </c>
      <c r="D152" t="s">
        <v>11</v>
      </c>
      <c r="E152" t="s">
        <v>206</v>
      </c>
      <c r="F152" t="s">
        <v>207</v>
      </c>
      <c r="G152">
        <v>78418</v>
      </c>
      <c r="H152">
        <v>2004</v>
      </c>
      <c r="I152" s="1">
        <v>7130</v>
      </c>
      <c r="J152" s="1">
        <v>14260</v>
      </c>
    </row>
    <row r="153" spans="1:11" x14ac:dyDescent="0.35">
      <c r="A153">
        <v>398772</v>
      </c>
      <c r="B153">
        <v>1163331</v>
      </c>
      <c r="C153" t="str">
        <f>"SHAMROCK INDEP SCHOOL DISTRICT"</f>
        <v>SHAMROCK INDEP SCHOOL DISTRICT</v>
      </c>
      <c r="D153" t="s">
        <v>11</v>
      </c>
      <c r="E153" t="s">
        <v>208</v>
      </c>
      <c r="F153" t="s">
        <v>209</v>
      </c>
      <c r="G153">
        <v>79079</v>
      </c>
      <c r="H153">
        <v>2004</v>
      </c>
      <c r="I153" s="1">
        <v>6384</v>
      </c>
      <c r="J153" s="1">
        <v>8400</v>
      </c>
      <c r="K153" s="1">
        <v>6384</v>
      </c>
    </row>
    <row r="154" spans="1:11" x14ac:dyDescent="0.35">
      <c r="A154">
        <v>412551</v>
      </c>
      <c r="B154">
        <v>1132131</v>
      </c>
      <c r="C154" t="str">
        <f>"SIVELLS BEND INDEP SCHOOL DIST"</f>
        <v>SIVELLS BEND INDEP SCHOOL DIST</v>
      </c>
      <c r="D154" t="s">
        <v>11</v>
      </c>
      <c r="E154" t="s">
        <v>210</v>
      </c>
      <c r="F154" t="s">
        <v>211</v>
      </c>
      <c r="G154">
        <v>76240</v>
      </c>
      <c r="H154">
        <v>2004</v>
      </c>
      <c r="I154" s="1">
        <v>2940</v>
      </c>
      <c r="J154" s="1">
        <v>4200</v>
      </c>
      <c r="K154" s="1">
        <v>2940</v>
      </c>
    </row>
    <row r="155" spans="1:11" x14ac:dyDescent="0.35">
      <c r="A155">
        <v>407171</v>
      </c>
      <c r="B155">
        <v>1132922</v>
      </c>
      <c r="C155" t="str">
        <f>"SMYER INDEP SCHOOL DISTRICT"</f>
        <v>SMYER INDEP SCHOOL DISTRICT</v>
      </c>
      <c r="D155" t="s">
        <v>11</v>
      </c>
      <c r="E155" t="s">
        <v>212</v>
      </c>
      <c r="F155" t="s">
        <v>213</v>
      </c>
      <c r="G155">
        <v>79367</v>
      </c>
      <c r="H155">
        <v>2004</v>
      </c>
      <c r="I155" s="1">
        <v>2486.4</v>
      </c>
      <c r="J155" s="1">
        <v>3360</v>
      </c>
      <c r="K155" s="1">
        <v>2486.4</v>
      </c>
    </row>
    <row r="156" spans="1:11" x14ac:dyDescent="0.35">
      <c r="A156">
        <v>407171</v>
      </c>
      <c r="B156">
        <v>1136842</v>
      </c>
      <c r="C156" t="str">
        <f>"SMYER INDEP SCHOOL DISTRICT"</f>
        <v>SMYER INDEP SCHOOL DISTRICT</v>
      </c>
      <c r="D156" t="s">
        <v>11</v>
      </c>
      <c r="E156" t="s">
        <v>212</v>
      </c>
      <c r="F156" t="s">
        <v>213</v>
      </c>
      <c r="G156">
        <v>79367</v>
      </c>
      <c r="H156">
        <v>2004</v>
      </c>
      <c r="I156" s="1">
        <v>5032</v>
      </c>
      <c r="J156" s="1">
        <v>6800</v>
      </c>
      <c r="K156" s="1">
        <v>3330</v>
      </c>
    </row>
    <row r="157" spans="1:11" x14ac:dyDescent="0.35">
      <c r="A157">
        <v>407171</v>
      </c>
      <c r="B157">
        <v>1137064</v>
      </c>
      <c r="C157" t="str">
        <f>"SMYER INDEP SCHOOL DISTRICT"</f>
        <v>SMYER INDEP SCHOOL DISTRICT</v>
      </c>
      <c r="D157" t="s">
        <v>11</v>
      </c>
      <c r="E157" t="s">
        <v>212</v>
      </c>
      <c r="F157" t="s">
        <v>213</v>
      </c>
      <c r="G157">
        <v>79367</v>
      </c>
      <c r="H157">
        <v>2004</v>
      </c>
      <c r="I157" s="1">
        <v>1554</v>
      </c>
      <c r="J157" s="1">
        <v>2100</v>
      </c>
      <c r="K157" s="1">
        <v>1295</v>
      </c>
    </row>
    <row r="158" spans="1:11" x14ac:dyDescent="0.35">
      <c r="A158">
        <v>433151</v>
      </c>
      <c r="B158">
        <v>1205970</v>
      </c>
      <c r="C158" t="str">
        <f>"SOUTHWEST PREPARTORY SCHOOL DIST"</f>
        <v>SOUTHWEST PREPARTORY SCHOOL DIST</v>
      </c>
      <c r="D158" t="s">
        <v>11</v>
      </c>
      <c r="E158" t="s">
        <v>214</v>
      </c>
      <c r="F158" t="s">
        <v>19</v>
      </c>
      <c r="G158">
        <v>78209</v>
      </c>
      <c r="H158">
        <v>2004</v>
      </c>
      <c r="I158" s="1">
        <v>5952</v>
      </c>
      <c r="J158" s="1">
        <v>7440</v>
      </c>
    </row>
    <row r="159" spans="1:11" x14ac:dyDescent="0.35">
      <c r="A159">
        <v>433151</v>
      </c>
      <c r="B159">
        <v>1205952</v>
      </c>
      <c r="C159" t="str">
        <f>"SOUTHWEST PREPARTORY SCHOOL DIST"</f>
        <v>SOUTHWEST PREPARTORY SCHOOL DIST</v>
      </c>
      <c r="D159" t="s">
        <v>11</v>
      </c>
      <c r="E159" t="s">
        <v>214</v>
      </c>
      <c r="F159" t="s">
        <v>19</v>
      </c>
      <c r="G159">
        <v>78209</v>
      </c>
      <c r="H159">
        <v>2004</v>
      </c>
      <c r="I159" s="1">
        <v>2678.4</v>
      </c>
      <c r="J159" s="1">
        <v>3348</v>
      </c>
    </row>
    <row r="160" spans="1:11" x14ac:dyDescent="0.35">
      <c r="A160">
        <v>414999</v>
      </c>
      <c r="B160">
        <v>1141052</v>
      </c>
      <c r="C160" t="str">
        <f t="shared" ref="C160:C170" si="0">"SPRINGLAKE-EARTH IND SCH DIST"</f>
        <v>SPRINGLAKE-EARTH IND SCH DIST</v>
      </c>
      <c r="D160" t="s">
        <v>11</v>
      </c>
      <c r="E160" t="s">
        <v>215</v>
      </c>
      <c r="F160" t="s">
        <v>216</v>
      </c>
      <c r="G160">
        <v>79031</v>
      </c>
      <c r="H160">
        <v>2004</v>
      </c>
      <c r="I160" s="1">
        <v>0</v>
      </c>
      <c r="J160" s="1">
        <v>0</v>
      </c>
    </row>
    <row r="161" spans="1:11" x14ac:dyDescent="0.35">
      <c r="A161">
        <v>414999</v>
      </c>
      <c r="B161">
        <v>1140992</v>
      </c>
      <c r="C161" t="str">
        <f t="shared" si="0"/>
        <v>SPRINGLAKE-EARTH IND SCH DIST</v>
      </c>
      <c r="D161" t="s">
        <v>11</v>
      </c>
      <c r="E161" t="s">
        <v>215</v>
      </c>
      <c r="F161" t="s">
        <v>216</v>
      </c>
      <c r="G161">
        <v>79031</v>
      </c>
      <c r="H161">
        <v>2004</v>
      </c>
      <c r="I161" s="1">
        <v>0</v>
      </c>
      <c r="J161" s="1">
        <v>0</v>
      </c>
    </row>
    <row r="162" spans="1:11" x14ac:dyDescent="0.35">
      <c r="A162">
        <v>414999</v>
      </c>
      <c r="B162">
        <v>1140976</v>
      </c>
      <c r="C162" t="str">
        <f t="shared" si="0"/>
        <v>SPRINGLAKE-EARTH IND SCH DIST</v>
      </c>
      <c r="D162" t="s">
        <v>11</v>
      </c>
      <c r="E162" t="s">
        <v>215</v>
      </c>
      <c r="F162" t="s">
        <v>216</v>
      </c>
      <c r="G162">
        <v>79031</v>
      </c>
      <c r="H162">
        <v>2004</v>
      </c>
      <c r="I162" s="1">
        <v>0</v>
      </c>
      <c r="J162" s="1">
        <v>0</v>
      </c>
    </row>
    <row r="163" spans="1:11" x14ac:dyDescent="0.35">
      <c r="A163">
        <v>414999</v>
      </c>
      <c r="B163">
        <v>1140959</v>
      </c>
      <c r="C163" t="str">
        <f t="shared" si="0"/>
        <v>SPRINGLAKE-EARTH IND SCH DIST</v>
      </c>
      <c r="D163" t="s">
        <v>11</v>
      </c>
      <c r="E163" t="s">
        <v>215</v>
      </c>
      <c r="F163" t="s">
        <v>216</v>
      </c>
      <c r="G163">
        <v>79031</v>
      </c>
      <c r="H163">
        <v>2004</v>
      </c>
      <c r="I163" s="1">
        <v>0</v>
      </c>
      <c r="J163" s="1">
        <v>0</v>
      </c>
    </row>
    <row r="164" spans="1:11" x14ac:dyDescent="0.35">
      <c r="A164">
        <v>414999</v>
      </c>
      <c r="B164">
        <v>1141015</v>
      </c>
      <c r="C164" t="str">
        <f t="shared" si="0"/>
        <v>SPRINGLAKE-EARTH IND SCH DIST</v>
      </c>
      <c r="D164" t="s">
        <v>11</v>
      </c>
      <c r="E164" t="s">
        <v>215</v>
      </c>
      <c r="F164" t="s">
        <v>216</v>
      </c>
      <c r="G164">
        <v>79031</v>
      </c>
      <c r="H164">
        <v>2004</v>
      </c>
      <c r="I164" s="1">
        <v>0</v>
      </c>
      <c r="J164" s="1">
        <v>0</v>
      </c>
    </row>
    <row r="165" spans="1:11" x14ac:dyDescent="0.35">
      <c r="A165">
        <v>414999</v>
      </c>
      <c r="B165">
        <v>1141571</v>
      </c>
      <c r="C165" t="str">
        <f t="shared" si="0"/>
        <v>SPRINGLAKE-EARTH IND SCH DIST</v>
      </c>
      <c r="D165" t="s">
        <v>11</v>
      </c>
      <c r="E165" t="s">
        <v>215</v>
      </c>
      <c r="F165" t="s">
        <v>216</v>
      </c>
      <c r="G165">
        <v>79031</v>
      </c>
      <c r="H165">
        <v>2004</v>
      </c>
      <c r="I165" s="1">
        <v>0</v>
      </c>
      <c r="J165" s="1">
        <v>0</v>
      </c>
    </row>
    <row r="166" spans="1:11" x14ac:dyDescent="0.35">
      <c r="A166">
        <v>414999</v>
      </c>
      <c r="B166">
        <v>1140711</v>
      </c>
      <c r="C166" t="str">
        <f t="shared" si="0"/>
        <v>SPRINGLAKE-EARTH IND SCH DIST</v>
      </c>
      <c r="D166" t="s">
        <v>11</v>
      </c>
      <c r="E166" t="s">
        <v>215</v>
      </c>
      <c r="F166" t="s">
        <v>216</v>
      </c>
      <c r="G166">
        <v>79031</v>
      </c>
      <c r="H166">
        <v>2004</v>
      </c>
      <c r="I166" s="1">
        <v>0</v>
      </c>
      <c r="J166" s="1">
        <v>0</v>
      </c>
    </row>
    <row r="167" spans="1:11" x14ac:dyDescent="0.35">
      <c r="A167">
        <v>414999</v>
      </c>
      <c r="B167">
        <v>1140693</v>
      </c>
      <c r="C167" t="str">
        <f t="shared" si="0"/>
        <v>SPRINGLAKE-EARTH IND SCH DIST</v>
      </c>
      <c r="D167" t="s">
        <v>11</v>
      </c>
      <c r="E167" t="s">
        <v>215</v>
      </c>
      <c r="F167" t="s">
        <v>216</v>
      </c>
      <c r="G167">
        <v>79031</v>
      </c>
      <c r="H167">
        <v>2004</v>
      </c>
      <c r="I167" s="1">
        <v>0</v>
      </c>
      <c r="J167" s="1">
        <v>0</v>
      </c>
    </row>
    <row r="168" spans="1:11" x14ac:dyDescent="0.35">
      <c r="A168">
        <v>412675</v>
      </c>
      <c r="B168">
        <v>1132639</v>
      </c>
      <c r="C168" t="str">
        <f t="shared" si="0"/>
        <v>SPRINGLAKE-EARTH IND SCH DIST</v>
      </c>
      <c r="D168" t="s">
        <v>11</v>
      </c>
      <c r="E168" t="s">
        <v>215</v>
      </c>
      <c r="F168" t="s">
        <v>216</v>
      </c>
      <c r="G168">
        <v>79031</v>
      </c>
      <c r="H168">
        <v>2004</v>
      </c>
      <c r="I168" s="1">
        <v>4416</v>
      </c>
      <c r="J168" s="1">
        <v>5520</v>
      </c>
      <c r="K168" s="1">
        <v>4416</v>
      </c>
    </row>
    <row r="169" spans="1:11" x14ac:dyDescent="0.35">
      <c r="A169">
        <v>414999</v>
      </c>
      <c r="B169">
        <v>1140665</v>
      </c>
      <c r="C169" t="str">
        <f t="shared" si="0"/>
        <v>SPRINGLAKE-EARTH IND SCH DIST</v>
      </c>
      <c r="D169" t="s">
        <v>11</v>
      </c>
      <c r="E169" t="s">
        <v>215</v>
      </c>
      <c r="F169" t="s">
        <v>216</v>
      </c>
      <c r="G169">
        <v>79031</v>
      </c>
      <c r="H169">
        <v>2004</v>
      </c>
      <c r="I169" s="1">
        <v>0</v>
      </c>
      <c r="J169" s="1">
        <v>0</v>
      </c>
    </row>
    <row r="170" spans="1:11" x14ac:dyDescent="0.35">
      <c r="A170">
        <v>414999</v>
      </c>
      <c r="B170">
        <v>1141073</v>
      </c>
      <c r="C170" t="str">
        <f t="shared" si="0"/>
        <v>SPRINGLAKE-EARTH IND SCH DIST</v>
      </c>
      <c r="D170" t="s">
        <v>11</v>
      </c>
      <c r="E170" t="s">
        <v>215</v>
      </c>
      <c r="F170" t="s">
        <v>216</v>
      </c>
      <c r="G170">
        <v>79031</v>
      </c>
      <c r="H170">
        <v>2004</v>
      </c>
      <c r="I170" s="1">
        <v>0</v>
      </c>
      <c r="J170" s="1">
        <v>0</v>
      </c>
    </row>
    <row r="171" spans="1:11" x14ac:dyDescent="0.35">
      <c r="A171">
        <v>427119</v>
      </c>
      <c r="B171">
        <v>1183535</v>
      </c>
      <c r="C171" t="str">
        <f>"ST ANTHONY CATHEDRAL SCHOOL"</f>
        <v>ST ANTHONY CATHEDRAL SCHOOL</v>
      </c>
      <c r="D171" t="s">
        <v>11</v>
      </c>
      <c r="E171" t="s">
        <v>217</v>
      </c>
      <c r="F171" t="s">
        <v>165</v>
      </c>
      <c r="G171">
        <v>77701</v>
      </c>
      <c r="H171">
        <v>2004</v>
      </c>
      <c r="I171" s="1">
        <v>480</v>
      </c>
      <c r="J171" s="1">
        <v>1200</v>
      </c>
      <c r="K171" s="1">
        <v>278.99</v>
      </c>
    </row>
    <row r="172" spans="1:11" x14ac:dyDescent="0.35">
      <c r="A172">
        <v>427119</v>
      </c>
      <c r="B172">
        <v>1183613</v>
      </c>
      <c r="C172" t="str">
        <f>"ST ANTHONY CATHEDRAL SCHOOL"</f>
        <v>ST ANTHONY CATHEDRAL SCHOOL</v>
      </c>
      <c r="D172" t="s">
        <v>11</v>
      </c>
      <c r="E172" t="s">
        <v>217</v>
      </c>
      <c r="F172" t="s">
        <v>165</v>
      </c>
      <c r="G172">
        <v>77701</v>
      </c>
      <c r="H172">
        <v>2004</v>
      </c>
      <c r="I172" s="1">
        <v>288</v>
      </c>
      <c r="J172" s="1">
        <v>720</v>
      </c>
      <c r="K172" s="1">
        <v>80.540000000000006</v>
      </c>
    </row>
    <row r="173" spans="1:11" x14ac:dyDescent="0.35">
      <c r="A173">
        <v>430535</v>
      </c>
      <c r="B173">
        <v>1201679</v>
      </c>
      <c r="C173" t="str">
        <f>"ST ANTHONY ELEMENTARY SCHOOL"</f>
        <v>ST ANTHONY ELEMENTARY SCHOOL</v>
      </c>
      <c r="D173" t="s">
        <v>11</v>
      </c>
      <c r="E173" t="s">
        <v>218</v>
      </c>
      <c r="F173" t="s">
        <v>219</v>
      </c>
      <c r="G173">
        <v>78934</v>
      </c>
      <c r="H173">
        <v>2004</v>
      </c>
      <c r="I173" s="1">
        <v>2100</v>
      </c>
      <c r="J173" s="1">
        <v>4200</v>
      </c>
      <c r="K173" s="1">
        <v>2100</v>
      </c>
    </row>
    <row r="174" spans="1:11" x14ac:dyDescent="0.35">
      <c r="A174">
        <v>428269</v>
      </c>
      <c r="B174">
        <v>1186545</v>
      </c>
      <c r="C174" t="str">
        <f>"ST ANTHONY SCHOOL"</f>
        <v>ST ANTHONY SCHOOL</v>
      </c>
      <c r="D174" t="s">
        <v>11</v>
      </c>
      <c r="E174" t="s">
        <v>220</v>
      </c>
      <c r="F174" t="s">
        <v>19</v>
      </c>
      <c r="G174">
        <v>78212</v>
      </c>
      <c r="H174">
        <v>2004</v>
      </c>
      <c r="I174" s="1">
        <v>0</v>
      </c>
      <c r="J174" s="1">
        <v>0</v>
      </c>
    </row>
    <row r="175" spans="1:11" x14ac:dyDescent="0.35">
      <c r="A175">
        <v>428249</v>
      </c>
      <c r="B175">
        <v>1186473</v>
      </c>
      <c r="C175" t="str">
        <f>"ST ANTHONY SCHOOL"</f>
        <v>ST ANTHONY SCHOOL</v>
      </c>
      <c r="D175" t="s">
        <v>11</v>
      </c>
      <c r="E175" t="s">
        <v>220</v>
      </c>
      <c r="F175" t="s">
        <v>19</v>
      </c>
      <c r="G175">
        <v>78212</v>
      </c>
      <c r="H175">
        <v>2004</v>
      </c>
      <c r="I175" s="1">
        <v>989.56</v>
      </c>
      <c r="J175" s="1">
        <v>2698.8</v>
      </c>
      <c r="K175" s="1">
        <v>989.56</v>
      </c>
    </row>
    <row r="176" spans="1:11" x14ac:dyDescent="0.35">
      <c r="A176">
        <v>410564</v>
      </c>
      <c r="B176">
        <v>1125930</v>
      </c>
      <c r="C176" t="str">
        <f>"ST ANTHONY SCHOOL"</f>
        <v>ST ANTHONY SCHOOL</v>
      </c>
      <c r="D176" t="s">
        <v>11</v>
      </c>
      <c r="E176" t="s">
        <v>221</v>
      </c>
      <c r="F176" t="s">
        <v>103</v>
      </c>
      <c r="G176">
        <v>78550</v>
      </c>
      <c r="H176">
        <v>2004</v>
      </c>
      <c r="I176" s="1">
        <v>623.52</v>
      </c>
      <c r="J176" s="1">
        <v>1558.8</v>
      </c>
      <c r="K176" s="1">
        <v>559.6</v>
      </c>
    </row>
    <row r="177" spans="1:11" x14ac:dyDescent="0.35">
      <c r="A177">
        <v>434285</v>
      </c>
      <c r="B177">
        <v>1209560</v>
      </c>
      <c r="C177" t="str">
        <f>"ST AUGUSTINE"</f>
        <v>ST AUGUSTINE</v>
      </c>
      <c r="D177" t="s">
        <v>11</v>
      </c>
      <c r="E177" t="s">
        <v>222</v>
      </c>
      <c r="F177" t="s">
        <v>21</v>
      </c>
      <c r="G177">
        <v>77017</v>
      </c>
      <c r="H177">
        <v>2004</v>
      </c>
      <c r="I177" s="1">
        <v>129.9</v>
      </c>
      <c r="J177" s="1">
        <v>779.4</v>
      </c>
    </row>
    <row r="178" spans="1:11" x14ac:dyDescent="0.35">
      <c r="A178">
        <v>409592</v>
      </c>
      <c r="B178">
        <v>1122654</v>
      </c>
      <c r="C178" t="str">
        <f>"ST CECILIA CATHOLIC SCHOOL"</f>
        <v>ST CECILIA CATHOLIC SCHOOL</v>
      </c>
      <c r="D178" t="s">
        <v>11</v>
      </c>
      <c r="E178" t="s">
        <v>223</v>
      </c>
      <c r="F178" t="s">
        <v>13</v>
      </c>
      <c r="G178">
        <v>75208</v>
      </c>
      <c r="H178">
        <v>2004</v>
      </c>
      <c r="I178" s="1">
        <v>1151.6400000000001</v>
      </c>
      <c r="J178" s="1">
        <v>1919.4</v>
      </c>
    </row>
    <row r="179" spans="1:11" x14ac:dyDescent="0.35">
      <c r="A179">
        <v>389266</v>
      </c>
      <c r="B179">
        <v>1067500</v>
      </c>
      <c r="C179" t="str">
        <f>"ST FRANCIS DE SALES SCHOOL"</f>
        <v>ST FRANCIS DE SALES SCHOOL</v>
      </c>
      <c r="D179" t="s">
        <v>11</v>
      </c>
      <c r="E179" t="s">
        <v>224</v>
      </c>
      <c r="F179" t="s">
        <v>21</v>
      </c>
      <c r="G179">
        <v>77036</v>
      </c>
      <c r="H179">
        <v>2004</v>
      </c>
      <c r="I179" s="1">
        <v>2424</v>
      </c>
      <c r="J179" s="1">
        <v>6060</v>
      </c>
      <c r="K179" s="1">
        <v>1851</v>
      </c>
    </row>
    <row r="180" spans="1:11" x14ac:dyDescent="0.35">
      <c r="A180">
        <v>428079</v>
      </c>
      <c r="B180">
        <v>1185976</v>
      </c>
      <c r="C180" t="str">
        <f>"ST FRANCIS OF ASSISI SCHOOL"</f>
        <v>ST FRANCIS OF ASSISI SCHOOL</v>
      </c>
      <c r="D180" t="s">
        <v>11</v>
      </c>
      <c r="E180" t="s">
        <v>225</v>
      </c>
      <c r="F180" t="s">
        <v>21</v>
      </c>
      <c r="G180">
        <v>77026</v>
      </c>
      <c r="H180">
        <v>2004</v>
      </c>
      <c r="I180" s="1">
        <v>0</v>
      </c>
      <c r="J180" s="1">
        <v>0</v>
      </c>
    </row>
    <row r="181" spans="1:11" x14ac:dyDescent="0.35">
      <c r="A181">
        <v>396834</v>
      </c>
      <c r="B181">
        <v>1084811</v>
      </c>
      <c r="C181" t="str">
        <f>"ST GERARD HIGH SCHOOL"</f>
        <v>ST GERARD HIGH SCHOOL</v>
      </c>
      <c r="D181" t="s">
        <v>11</v>
      </c>
      <c r="E181" t="s">
        <v>226</v>
      </c>
      <c r="F181" t="s">
        <v>19</v>
      </c>
      <c r="G181">
        <v>78203</v>
      </c>
      <c r="H181">
        <v>2004</v>
      </c>
      <c r="I181" s="1">
        <v>479.52</v>
      </c>
      <c r="J181" s="1">
        <v>599.4</v>
      </c>
      <c r="K181" s="1">
        <v>439.56</v>
      </c>
    </row>
    <row r="182" spans="1:11" x14ac:dyDescent="0.35">
      <c r="A182">
        <v>429093</v>
      </c>
      <c r="B182">
        <v>1190998</v>
      </c>
      <c r="C182" t="str">
        <f>"ST HELEN SCHOOL"</f>
        <v>ST HELEN SCHOOL</v>
      </c>
      <c r="D182" t="s">
        <v>11</v>
      </c>
      <c r="E182" t="s">
        <v>227</v>
      </c>
      <c r="F182" t="s">
        <v>228</v>
      </c>
      <c r="G182">
        <v>77581</v>
      </c>
      <c r="H182">
        <v>2004</v>
      </c>
      <c r="I182" s="1">
        <v>191.76</v>
      </c>
      <c r="J182" s="1">
        <v>479.4</v>
      </c>
      <c r="K182" s="1">
        <v>163.78</v>
      </c>
    </row>
    <row r="183" spans="1:11" x14ac:dyDescent="0.35">
      <c r="A183">
        <v>420766</v>
      </c>
      <c r="B183">
        <v>1165456</v>
      </c>
      <c r="C183" t="str">
        <f>"ST JOHN BERCHMANS SCHOOL"</f>
        <v>ST JOHN BERCHMANS SCHOOL</v>
      </c>
      <c r="D183" t="s">
        <v>11</v>
      </c>
      <c r="E183" t="s">
        <v>229</v>
      </c>
      <c r="F183" t="s">
        <v>19</v>
      </c>
      <c r="G183">
        <v>78226</v>
      </c>
      <c r="H183">
        <v>2004</v>
      </c>
      <c r="I183" s="1">
        <v>0</v>
      </c>
      <c r="J183" s="1">
        <v>0</v>
      </c>
    </row>
    <row r="184" spans="1:11" x14ac:dyDescent="0.35">
      <c r="A184">
        <v>435127</v>
      </c>
      <c r="B184">
        <v>1213060</v>
      </c>
      <c r="C184" t="str">
        <f>"ST JOSEPH ELEMENTARY SCHOOL"</f>
        <v>ST JOSEPH ELEMENTARY SCHOOL</v>
      </c>
      <c r="D184" t="s">
        <v>11</v>
      </c>
      <c r="E184" t="s">
        <v>230</v>
      </c>
      <c r="F184" t="s">
        <v>231</v>
      </c>
      <c r="G184">
        <v>77520</v>
      </c>
      <c r="H184">
        <v>2004</v>
      </c>
      <c r="I184" s="1">
        <v>0</v>
      </c>
      <c r="J184" s="1">
        <v>0</v>
      </c>
    </row>
    <row r="185" spans="1:11" x14ac:dyDescent="0.35">
      <c r="A185">
        <v>400678</v>
      </c>
      <c r="B185">
        <v>1095494</v>
      </c>
      <c r="C185" t="str">
        <f>"ST JOSEPH ELEMENTARY SCHOOL"</f>
        <v>ST JOSEPH ELEMENTARY SCHOOL</v>
      </c>
      <c r="D185" t="s">
        <v>11</v>
      </c>
      <c r="E185" t="s">
        <v>232</v>
      </c>
      <c r="F185" t="s">
        <v>233</v>
      </c>
      <c r="G185">
        <v>79110</v>
      </c>
      <c r="H185">
        <v>2004</v>
      </c>
      <c r="I185" s="1">
        <v>216</v>
      </c>
      <c r="J185" s="1">
        <v>540</v>
      </c>
    </row>
    <row r="186" spans="1:11" x14ac:dyDescent="0.35">
      <c r="A186">
        <v>417458</v>
      </c>
      <c r="B186">
        <v>1148404</v>
      </c>
      <c r="C186" t="str">
        <f>"ST LEO SCHOOL"</f>
        <v>ST LEO SCHOOL</v>
      </c>
      <c r="D186" t="s">
        <v>11</v>
      </c>
      <c r="E186" t="s">
        <v>234</v>
      </c>
      <c r="F186" t="s">
        <v>19</v>
      </c>
      <c r="G186">
        <v>78214</v>
      </c>
      <c r="H186">
        <v>2004</v>
      </c>
      <c r="I186" s="1">
        <v>719.52</v>
      </c>
      <c r="J186" s="1">
        <v>899.4</v>
      </c>
      <c r="K186" s="1">
        <v>653.44000000000005</v>
      </c>
    </row>
    <row r="187" spans="1:11" x14ac:dyDescent="0.35">
      <c r="A187">
        <v>391156</v>
      </c>
      <c r="B187">
        <v>1078146</v>
      </c>
      <c r="C187" t="str">
        <f>"ST LOUIS CATHOLIC SCHOOL"</f>
        <v>ST LOUIS CATHOLIC SCHOOL</v>
      </c>
      <c r="D187" t="s">
        <v>11</v>
      </c>
      <c r="E187" t="s">
        <v>235</v>
      </c>
      <c r="F187" t="s">
        <v>236</v>
      </c>
      <c r="G187">
        <v>78009</v>
      </c>
      <c r="H187">
        <v>2004</v>
      </c>
      <c r="I187" s="1">
        <v>3510</v>
      </c>
      <c r="J187" s="1">
        <v>7020</v>
      </c>
      <c r="K187" s="1">
        <v>3510</v>
      </c>
    </row>
    <row r="188" spans="1:11" x14ac:dyDescent="0.35">
      <c r="A188">
        <v>411792</v>
      </c>
      <c r="B188">
        <v>1158545</v>
      </c>
      <c r="C188" t="str">
        <f>"ST MARY MAGDALEN SCHOOL"</f>
        <v>ST MARY MAGDALEN SCHOOL</v>
      </c>
      <c r="D188" t="s">
        <v>11</v>
      </c>
      <c r="E188" t="s">
        <v>237</v>
      </c>
      <c r="F188" t="s">
        <v>19</v>
      </c>
      <c r="G188">
        <v>78201</v>
      </c>
      <c r="H188">
        <v>2004</v>
      </c>
      <c r="I188" s="1">
        <v>3784.32</v>
      </c>
      <c r="J188" s="1">
        <v>4730.3999999999996</v>
      </c>
    </row>
    <row r="189" spans="1:11" x14ac:dyDescent="0.35">
      <c r="A189">
        <v>429486</v>
      </c>
      <c r="B189">
        <v>1194613</v>
      </c>
      <c r="C189" t="str">
        <f>"ST MARY'S ACADEMY CHARTER SCHOOL"</f>
        <v>ST MARY'S ACADEMY CHARTER SCHOOL</v>
      </c>
      <c r="D189" t="s">
        <v>11</v>
      </c>
      <c r="E189" t="s">
        <v>238</v>
      </c>
      <c r="F189" t="s">
        <v>239</v>
      </c>
      <c r="G189">
        <v>78104</v>
      </c>
      <c r="H189">
        <v>2004</v>
      </c>
      <c r="I189" s="1">
        <v>12616.02</v>
      </c>
      <c r="J189" s="1">
        <v>14017.8</v>
      </c>
      <c r="K189" s="1">
        <v>12616.02</v>
      </c>
    </row>
    <row r="190" spans="1:11" x14ac:dyDescent="0.35">
      <c r="A190">
        <v>418134</v>
      </c>
      <c r="B190">
        <v>1150537</v>
      </c>
      <c r="C190" t="str">
        <f>"ST MATTHEW CATHOLIC SCHOOL"</f>
        <v>ST MATTHEW CATHOLIC SCHOOL</v>
      </c>
      <c r="D190" t="s">
        <v>11</v>
      </c>
      <c r="E190" t="s">
        <v>240</v>
      </c>
      <c r="F190" t="s">
        <v>19</v>
      </c>
      <c r="G190">
        <v>78230</v>
      </c>
      <c r="H190">
        <v>2004</v>
      </c>
      <c r="I190" s="1">
        <v>422.88</v>
      </c>
      <c r="J190" s="1">
        <v>1057.2</v>
      </c>
      <c r="K190" s="1">
        <v>311.76</v>
      </c>
    </row>
    <row r="191" spans="1:11" x14ac:dyDescent="0.35">
      <c r="A191">
        <v>428307</v>
      </c>
      <c r="B191">
        <v>1186837</v>
      </c>
      <c r="C191" t="str">
        <f>"ST PETER PRINCE OF APOSTLES"</f>
        <v>ST PETER PRINCE OF APOSTLES</v>
      </c>
      <c r="D191" t="s">
        <v>11</v>
      </c>
      <c r="E191" t="s">
        <v>241</v>
      </c>
      <c r="F191" t="s">
        <v>19</v>
      </c>
      <c r="G191">
        <v>78209</v>
      </c>
      <c r="H191">
        <v>2004</v>
      </c>
      <c r="I191" s="1">
        <v>322.37</v>
      </c>
      <c r="J191" s="1">
        <v>805.92</v>
      </c>
      <c r="K191" s="1">
        <v>322.37</v>
      </c>
    </row>
    <row r="192" spans="1:11" x14ac:dyDescent="0.35">
      <c r="A192">
        <v>416336</v>
      </c>
      <c r="B192">
        <v>1146147</v>
      </c>
      <c r="C192" t="str">
        <f>"SWEET HOME INDEP SCH DISTRICT"</f>
        <v>SWEET HOME INDEP SCH DISTRICT</v>
      </c>
      <c r="D192" t="s">
        <v>11</v>
      </c>
      <c r="E192" t="s">
        <v>242</v>
      </c>
      <c r="F192" t="s">
        <v>243</v>
      </c>
      <c r="G192">
        <v>77987</v>
      </c>
      <c r="H192">
        <v>2004</v>
      </c>
      <c r="I192" s="1">
        <v>936</v>
      </c>
      <c r="J192" s="1">
        <v>1560</v>
      </c>
      <c r="K192" s="1">
        <v>936</v>
      </c>
    </row>
    <row r="193" spans="1:11" x14ac:dyDescent="0.35">
      <c r="A193">
        <v>416336</v>
      </c>
      <c r="B193">
        <v>1146271</v>
      </c>
      <c r="C193" t="str">
        <f>"SWEET HOME INDEP SCH DISTRICT"</f>
        <v>SWEET HOME INDEP SCH DISTRICT</v>
      </c>
      <c r="D193" t="s">
        <v>11</v>
      </c>
      <c r="E193" t="s">
        <v>242</v>
      </c>
      <c r="F193" t="s">
        <v>243</v>
      </c>
      <c r="G193">
        <v>77987</v>
      </c>
      <c r="H193">
        <v>2004</v>
      </c>
      <c r="I193" s="1">
        <v>5760</v>
      </c>
      <c r="J193" s="1">
        <v>9600</v>
      </c>
      <c r="K193" s="1">
        <v>5760</v>
      </c>
    </row>
    <row r="194" spans="1:11" x14ac:dyDescent="0.35">
      <c r="A194">
        <v>421905</v>
      </c>
      <c r="B194">
        <v>1174766</v>
      </c>
      <c r="C194" t="str">
        <f>"TARKINGTON INDEP SCHOOL DIST"</f>
        <v>TARKINGTON INDEP SCHOOL DIST</v>
      </c>
      <c r="D194" t="s">
        <v>11</v>
      </c>
      <c r="E194" t="s">
        <v>244</v>
      </c>
      <c r="F194" t="s">
        <v>245</v>
      </c>
      <c r="G194">
        <v>77327</v>
      </c>
      <c r="H194">
        <v>2004</v>
      </c>
      <c r="I194" s="1">
        <v>5986.2</v>
      </c>
      <c r="J194" s="1">
        <v>10884</v>
      </c>
      <c r="K194" s="1">
        <v>5986.2</v>
      </c>
    </row>
    <row r="195" spans="1:11" x14ac:dyDescent="0.35">
      <c r="A195">
        <v>396167</v>
      </c>
      <c r="B195">
        <v>1129714</v>
      </c>
      <c r="C195" t="str">
        <f>"TECHNOLOGY EDUCATION CHARTER SCHOOL"</f>
        <v>TECHNOLOGY EDUCATION CHARTER SCHOOL</v>
      </c>
      <c r="D195" t="s">
        <v>11</v>
      </c>
      <c r="E195" t="s">
        <v>246</v>
      </c>
      <c r="F195" t="s">
        <v>247</v>
      </c>
      <c r="G195">
        <v>78596</v>
      </c>
      <c r="H195">
        <v>2004</v>
      </c>
      <c r="I195" s="1">
        <v>5400</v>
      </c>
      <c r="J195" s="1">
        <v>6000</v>
      </c>
      <c r="K195" s="1">
        <v>4914</v>
      </c>
    </row>
    <row r="196" spans="1:11" x14ac:dyDescent="0.35">
      <c r="A196">
        <v>431927</v>
      </c>
      <c r="B196">
        <v>1200223</v>
      </c>
      <c r="C196" t="str">
        <f>"TEXAS  PREPARATORY SCHOOL"</f>
        <v>TEXAS  PREPARATORY SCHOOL</v>
      </c>
      <c r="D196" t="s">
        <v>11</v>
      </c>
      <c r="E196" t="s">
        <v>248</v>
      </c>
      <c r="F196" t="s">
        <v>249</v>
      </c>
      <c r="G196">
        <v>78666</v>
      </c>
      <c r="H196">
        <v>2004</v>
      </c>
      <c r="I196" s="1">
        <v>4928</v>
      </c>
      <c r="J196" s="1">
        <v>6160</v>
      </c>
    </row>
    <row r="197" spans="1:11" x14ac:dyDescent="0.35">
      <c r="A197">
        <v>432096</v>
      </c>
      <c r="B197">
        <v>1200978</v>
      </c>
      <c r="C197" t="str">
        <f>"TEXAS  PREPARATORY SCHOOL"</f>
        <v>TEXAS  PREPARATORY SCHOOL</v>
      </c>
      <c r="D197" t="s">
        <v>11</v>
      </c>
      <c r="E197" t="s">
        <v>248</v>
      </c>
      <c r="F197" t="s">
        <v>249</v>
      </c>
      <c r="G197">
        <v>78666</v>
      </c>
      <c r="H197">
        <v>2004</v>
      </c>
      <c r="I197" s="1">
        <v>0</v>
      </c>
      <c r="J197" s="1">
        <v>0</v>
      </c>
    </row>
    <row r="198" spans="1:11" x14ac:dyDescent="0.35">
      <c r="A198">
        <v>414029</v>
      </c>
      <c r="B198">
        <v>1174260</v>
      </c>
      <c r="C198" t="str">
        <f>"TEXAS ACADEMY OF EXCELLENCE"</f>
        <v>TEXAS ACADEMY OF EXCELLENCE</v>
      </c>
      <c r="D198" t="s">
        <v>11</v>
      </c>
      <c r="E198" t="s">
        <v>250</v>
      </c>
      <c r="F198" t="s">
        <v>60</v>
      </c>
      <c r="G198">
        <v>78724</v>
      </c>
      <c r="H198">
        <v>2004</v>
      </c>
      <c r="I198" s="1">
        <v>0</v>
      </c>
      <c r="J198" s="1">
        <v>0</v>
      </c>
    </row>
    <row r="199" spans="1:11" x14ac:dyDescent="0.35">
      <c r="A199">
        <v>404124</v>
      </c>
      <c r="B199">
        <v>1106692</v>
      </c>
      <c r="C199" t="str">
        <f>"TEXLINE INDEP SCHOOL DISTRICT"</f>
        <v>TEXLINE INDEP SCHOOL DISTRICT</v>
      </c>
      <c r="D199" t="s">
        <v>11</v>
      </c>
      <c r="E199" t="s">
        <v>251</v>
      </c>
      <c r="F199" t="s">
        <v>252</v>
      </c>
      <c r="G199">
        <v>79087</v>
      </c>
      <c r="H199">
        <v>2004</v>
      </c>
      <c r="I199" s="1">
        <v>6720</v>
      </c>
      <c r="J199" s="1">
        <v>8400</v>
      </c>
      <c r="K199" s="1">
        <v>6720</v>
      </c>
    </row>
    <row r="200" spans="1:11" x14ac:dyDescent="0.35">
      <c r="A200">
        <v>425523</v>
      </c>
      <c r="B200">
        <v>1177459</v>
      </c>
      <c r="C200" t="str">
        <f>"THE NANCY NEY CHARTER SCHOOL"</f>
        <v>THE NANCY NEY CHARTER SCHOOL</v>
      </c>
      <c r="D200" t="s">
        <v>11</v>
      </c>
      <c r="E200" t="s">
        <v>253</v>
      </c>
      <c r="F200" t="s">
        <v>254</v>
      </c>
      <c r="G200">
        <v>78130</v>
      </c>
      <c r="H200">
        <v>2004</v>
      </c>
      <c r="I200" s="1">
        <v>5280</v>
      </c>
      <c r="J200" s="1">
        <v>6600</v>
      </c>
      <c r="K200" s="1">
        <v>5237.3999999999996</v>
      </c>
    </row>
    <row r="201" spans="1:11" x14ac:dyDescent="0.35">
      <c r="A201">
        <v>425523</v>
      </c>
      <c r="B201">
        <v>1177822</v>
      </c>
      <c r="C201" t="str">
        <f>"THE NANCY NEY CHARTER SCHOOL"</f>
        <v>THE NANCY NEY CHARTER SCHOOL</v>
      </c>
      <c r="D201" t="s">
        <v>11</v>
      </c>
      <c r="E201" t="s">
        <v>253</v>
      </c>
      <c r="F201" t="s">
        <v>254</v>
      </c>
      <c r="G201">
        <v>78130</v>
      </c>
      <c r="H201">
        <v>2004</v>
      </c>
      <c r="I201" s="1">
        <v>3000</v>
      </c>
      <c r="J201" s="1">
        <v>3750</v>
      </c>
      <c r="K201" s="1">
        <v>2975.81</v>
      </c>
    </row>
    <row r="202" spans="1:11" x14ac:dyDescent="0.35">
      <c r="A202">
        <v>415073</v>
      </c>
      <c r="B202">
        <v>1162216</v>
      </c>
      <c r="C202" t="str">
        <f>"TOLAR INDEP SCHOOL DISTRICT"</f>
        <v>TOLAR INDEP SCHOOL DISTRICT</v>
      </c>
      <c r="D202" t="s">
        <v>11</v>
      </c>
      <c r="E202" t="s">
        <v>255</v>
      </c>
      <c r="F202" t="s">
        <v>256</v>
      </c>
      <c r="G202">
        <v>76476</v>
      </c>
      <c r="H202">
        <v>2004</v>
      </c>
      <c r="I202" s="1">
        <v>2310</v>
      </c>
      <c r="J202" s="1">
        <v>4200</v>
      </c>
      <c r="K202" s="1">
        <v>2310</v>
      </c>
    </row>
    <row r="203" spans="1:11" x14ac:dyDescent="0.35">
      <c r="A203">
        <v>415073</v>
      </c>
      <c r="B203">
        <v>1162272</v>
      </c>
      <c r="C203" t="str">
        <f>"TOLAR INDEP SCHOOL DISTRICT"</f>
        <v>TOLAR INDEP SCHOOL DISTRICT</v>
      </c>
      <c r="D203" t="s">
        <v>11</v>
      </c>
      <c r="E203" t="s">
        <v>255</v>
      </c>
      <c r="F203" t="s">
        <v>256</v>
      </c>
      <c r="G203">
        <v>76476</v>
      </c>
      <c r="H203">
        <v>2004</v>
      </c>
      <c r="I203" s="1">
        <v>660</v>
      </c>
      <c r="J203" s="1">
        <v>1200</v>
      </c>
    </row>
    <row r="204" spans="1:11" x14ac:dyDescent="0.35">
      <c r="A204">
        <v>430433</v>
      </c>
      <c r="B204">
        <v>1195652</v>
      </c>
      <c r="C204" t="str">
        <f>"TOVAS CHARTER SCHOOL"</f>
        <v>TOVAS CHARTER SCHOOL</v>
      </c>
      <c r="D204" t="s">
        <v>11</v>
      </c>
      <c r="E204" t="s">
        <v>257</v>
      </c>
      <c r="F204" t="s">
        <v>258</v>
      </c>
      <c r="G204">
        <v>76502</v>
      </c>
      <c r="H204">
        <v>2004</v>
      </c>
      <c r="I204" s="1">
        <v>9709.2000000000007</v>
      </c>
      <c r="J204" s="1">
        <v>10788</v>
      </c>
    </row>
    <row r="205" spans="1:11" x14ac:dyDescent="0.35">
      <c r="A205">
        <v>408701</v>
      </c>
      <c r="B205">
        <v>1120219</v>
      </c>
      <c r="C205" t="str">
        <f>"TRANSFORMATIVE  CHARTER ACADEMY"</f>
        <v>TRANSFORMATIVE  CHARTER ACADEMY</v>
      </c>
      <c r="D205" t="s">
        <v>11</v>
      </c>
      <c r="E205" t="s">
        <v>259</v>
      </c>
      <c r="F205" t="s">
        <v>260</v>
      </c>
      <c r="G205">
        <v>76541</v>
      </c>
      <c r="H205">
        <v>2004</v>
      </c>
      <c r="I205" s="1">
        <v>10584</v>
      </c>
      <c r="J205" s="1">
        <v>11760</v>
      </c>
      <c r="K205" s="1">
        <v>10478.469999999999</v>
      </c>
    </row>
    <row r="206" spans="1:11" x14ac:dyDescent="0.35">
      <c r="A206">
        <v>400071</v>
      </c>
      <c r="B206">
        <v>1093924</v>
      </c>
      <c r="C206" t="str">
        <f>"TRINITY INDEP SCHOOL DISTRICT"</f>
        <v>TRINITY INDEP SCHOOL DISTRICT</v>
      </c>
      <c r="D206" t="s">
        <v>11</v>
      </c>
      <c r="E206" t="s">
        <v>261</v>
      </c>
      <c r="F206" t="s">
        <v>262</v>
      </c>
      <c r="G206">
        <v>75862</v>
      </c>
      <c r="H206">
        <v>2004</v>
      </c>
      <c r="I206" s="1">
        <v>0</v>
      </c>
      <c r="J206" s="1">
        <v>0</v>
      </c>
    </row>
    <row r="207" spans="1:11" x14ac:dyDescent="0.35">
      <c r="A207">
        <v>400071</v>
      </c>
      <c r="B207">
        <v>1093912</v>
      </c>
      <c r="C207" t="str">
        <f>"TRINITY INDEP SCHOOL DISTRICT"</f>
        <v>TRINITY INDEP SCHOOL DISTRICT</v>
      </c>
      <c r="D207" t="s">
        <v>11</v>
      </c>
      <c r="E207" t="s">
        <v>261</v>
      </c>
      <c r="F207" t="s">
        <v>262</v>
      </c>
      <c r="G207">
        <v>75862</v>
      </c>
      <c r="H207">
        <v>2004</v>
      </c>
      <c r="I207" s="1">
        <v>13497.6</v>
      </c>
      <c r="J207" s="1">
        <v>16872</v>
      </c>
      <c r="K207" s="1">
        <v>12600</v>
      </c>
    </row>
    <row r="208" spans="1:11" x14ac:dyDescent="0.35">
      <c r="A208">
        <v>399879</v>
      </c>
      <c r="B208">
        <v>1093574</v>
      </c>
      <c r="C208" t="str">
        <f>"TRINITY INDEP SCHOOL DISTRICT"</f>
        <v>TRINITY INDEP SCHOOL DISTRICT</v>
      </c>
      <c r="D208" t="s">
        <v>11</v>
      </c>
      <c r="E208" t="s">
        <v>261</v>
      </c>
      <c r="F208" t="s">
        <v>262</v>
      </c>
      <c r="G208">
        <v>75862</v>
      </c>
      <c r="H208">
        <v>2004</v>
      </c>
      <c r="I208" s="1">
        <v>516.96</v>
      </c>
      <c r="J208" s="1">
        <v>646.20000000000005</v>
      </c>
      <c r="K208" s="1">
        <v>473.76</v>
      </c>
    </row>
    <row r="209" spans="1:11" x14ac:dyDescent="0.35">
      <c r="A209">
        <v>430116</v>
      </c>
      <c r="B209">
        <v>1194114</v>
      </c>
      <c r="C209" t="str">
        <f>"TWO DIMENSIONS PREPARATORY ACADEMY"</f>
        <v>TWO DIMENSIONS PREPARATORY ACADEMY</v>
      </c>
      <c r="D209" t="s">
        <v>11</v>
      </c>
      <c r="E209" t="s">
        <v>263</v>
      </c>
      <c r="F209" t="s">
        <v>21</v>
      </c>
      <c r="G209">
        <v>77067</v>
      </c>
      <c r="H209">
        <v>2004</v>
      </c>
      <c r="I209" s="1">
        <v>1162.8</v>
      </c>
      <c r="J209" s="1">
        <v>3876</v>
      </c>
    </row>
    <row r="210" spans="1:11" x14ac:dyDescent="0.35">
      <c r="A210">
        <v>428064</v>
      </c>
      <c r="B210">
        <v>1185603</v>
      </c>
      <c r="C210" t="str">
        <f>"VANGUARD ACADEMY"</f>
        <v>VANGUARD ACADEMY</v>
      </c>
      <c r="D210" t="s">
        <v>11</v>
      </c>
      <c r="E210" t="s">
        <v>264</v>
      </c>
      <c r="F210" t="s">
        <v>265</v>
      </c>
      <c r="G210">
        <v>78577</v>
      </c>
      <c r="H210">
        <v>2004</v>
      </c>
      <c r="I210" s="1">
        <v>10795.46</v>
      </c>
      <c r="J210" s="1">
        <v>11994.96</v>
      </c>
      <c r="K210" s="1">
        <v>10795.46</v>
      </c>
    </row>
    <row r="211" spans="1:11" x14ac:dyDescent="0.35">
      <c r="A211">
        <v>433901</v>
      </c>
      <c r="B211">
        <v>1208409</v>
      </c>
      <c r="C211" t="str">
        <f>"VEGA ISD"</f>
        <v>VEGA ISD</v>
      </c>
      <c r="D211" t="s">
        <v>11</v>
      </c>
      <c r="E211" t="s">
        <v>266</v>
      </c>
      <c r="F211" t="s">
        <v>267</v>
      </c>
      <c r="G211">
        <v>79092</v>
      </c>
      <c r="H211">
        <v>2004</v>
      </c>
      <c r="I211" s="1">
        <v>2220</v>
      </c>
      <c r="J211" s="1">
        <v>3000</v>
      </c>
      <c r="K211" s="1">
        <v>2220</v>
      </c>
    </row>
    <row r="212" spans="1:11" x14ac:dyDescent="0.35">
      <c r="A212">
        <v>396561</v>
      </c>
      <c r="B212">
        <v>1104400</v>
      </c>
      <c r="C212" t="str">
        <f>"VYSEHRAD INDEP SCHOOL DISTRICT"</f>
        <v>VYSEHRAD INDEP SCHOOL DISTRICT</v>
      </c>
      <c r="D212" t="s">
        <v>11</v>
      </c>
      <c r="E212" t="s">
        <v>268</v>
      </c>
      <c r="F212" t="s">
        <v>80</v>
      </c>
      <c r="G212">
        <v>77964</v>
      </c>
      <c r="H212">
        <v>2004</v>
      </c>
      <c r="I212" s="1">
        <v>5760</v>
      </c>
      <c r="J212" s="1">
        <v>9600</v>
      </c>
      <c r="K212" s="1">
        <v>5760</v>
      </c>
    </row>
    <row r="213" spans="1:11" x14ac:dyDescent="0.35">
      <c r="A213">
        <v>391813</v>
      </c>
      <c r="B213">
        <v>1073279</v>
      </c>
      <c r="C213" t="str">
        <f>"WALNUT BEND ISD"</f>
        <v>WALNUT BEND ISD</v>
      </c>
      <c r="D213" t="s">
        <v>11</v>
      </c>
      <c r="E213" t="s">
        <v>269</v>
      </c>
      <c r="F213" t="s">
        <v>211</v>
      </c>
      <c r="G213">
        <v>76240</v>
      </c>
      <c r="H213">
        <v>2004</v>
      </c>
      <c r="I213" s="1">
        <v>3360</v>
      </c>
      <c r="J213" s="1">
        <v>4200</v>
      </c>
      <c r="K213" s="1">
        <v>3360</v>
      </c>
    </row>
    <row r="214" spans="1:11" x14ac:dyDescent="0.35">
      <c r="A214">
        <v>416655</v>
      </c>
      <c r="B214">
        <v>1148839</v>
      </c>
      <c r="C214" t="str">
        <f>"WELLMAN UNION SCHOOL"</f>
        <v>WELLMAN UNION SCHOOL</v>
      </c>
      <c r="D214" t="s">
        <v>11</v>
      </c>
      <c r="E214" t="s">
        <v>270</v>
      </c>
      <c r="F214" t="s">
        <v>271</v>
      </c>
      <c r="G214">
        <v>79378</v>
      </c>
      <c r="H214">
        <v>2004</v>
      </c>
      <c r="I214" s="1">
        <v>3780</v>
      </c>
      <c r="J214" s="1">
        <v>5400</v>
      </c>
      <c r="K214" s="1">
        <v>3780</v>
      </c>
    </row>
    <row r="215" spans="1:11" x14ac:dyDescent="0.35">
      <c r="A215">
        <v>395880</v>
      </c>
      <c r="B215">
        <v>1082095</v>
      </c>
      <c r="C215" t="str">
        <f>"WESTHOFF INDEP SCHOOL DIST"</f>
        <v>WESTHOFF INDEP SCHOOL DIST</v>
      </c>
      <c r="D215" t="s">
        <v>11</v>
      </c>
      <c r="E215" t="s">
        <v>272</v>
      </c>
      <c r="F215" t="s">
        <v>273</v>
      </c>
      <c r="G215">
        <v>77994</v>
      </c>
      <c r="H215">
        <v>2004</v>
      </c>
      <c r="I215" s="1">
        <v>7680</v>
      </c>
      <c r="J215" s="1">
        <v>9600</v>
      </c>
      <c r="K215" s="1">
        <v>7680</v>
      </c>
    </row>
    <row r="216" spans="1:11" x14ac:dyDescent="0.35">
      <c r="A216">
        <v>425853</v>
      </c>
      <c r="B216">
        <v>1188591</v>
      </c>
      <c r="C216" t="str">
        <f>"WESTPHALIA INDEP SCHOOL DIST"</f>
        <v>WESTPHALIA INDEP SCHOOL DIST</v>
      </c>
      <c r="D216" t="s">
        <v>11</v>
      </c>
      <c r="E216" t="s">
        <v>274</v>
      </c>
      <c r="F216" t="s">
        <v>275</v>
      </c>
      <c r="G216">
        <v>76656</v>
      </c>
      <c r="H216">
        <v>2004</v>
      </c>
      <c r="I216" s="1">
        <v>5610</v>
      </c>
      <c r="J216" s="1">
        <v>11220</v>
      </c>
      <c r="K216" s="1">
        <v>5610</v>
      </c>
    </row>
    <row r="217" spans="1:11" x14ac:dyDescent="0.35">
      <c r="A217">
        <v>429753</v>
      </c>
      <c r="B217">
        <v>1197826</v>
      </c>
      <c r="C217" t="str">
        <f>"WINFREE ACADEMY CHARTER SCHOOL IRVING"</f>
        <v>WINFREE ACADEMY CHARTER SCHOOL IRVING</v>
      </c>
      <c r="D217" t="s">
        <v>11</v>
      </c>
      <c r="E217" t="s">
        <v>276</v>
      </c>
      <c r="F217" t="s">
        <v>134</v>
      </c>
      <c r="G217">
        <v>75060</v>
      </c>
      <c r="H217">
        <v>2004</v>
      </c>
      <c r="I217" s="1">
        <v>7192.8</v>
      </c>
      <c r="J217" s="1">
        <v>11988</v>
      </c>
    </row>
    <row r="218" spans="1:11" x14ac:dyDescent="0.35">
      <c r="A218">
        <v>431619</v>
      </c>
      <c r="B218">
        <v>1199189</v>
      </c>
      <c r="C218" t="str">
        <f>"WINFREE ACADEMY CHARTER SCHOOL RICHARDSON"</f>
        <v>WINFREE ACADEMY CHARTER SCHOOL RICHARDSON</v>
      </c>
      <c r="D218" t="s">
        <v>11</v>
      </c>
      <c r="E218" t="s">
        <v>277</v>
      </c>
      <c r="F218" t="s">
        <v>278</v>
      </c>
      <c r="G218">
        <v>75080</v>
      </c>
      <c r="H218">
        <v>2004</v>
      </c>
      <c r="I218" s="1">
        <v>5994</v>
      </c>
      <c r="J218" s="1">
        <v>11988</v>
      </c>
    </row>
    <row r="219" spans="1:11" x14ac:dyDescent="0.35">
      <c r="A219">
        <v>431945</v>
      </c>
      <c r="B219">
        <v>1202221</v>
      </c>
      <c r="C219" t="str">
        <f>"WINFREY ACADEMY CHARTER SCHOOL (New Construction)"</f>
        <v>WINFREY ACADEMY CHARTER SCHOOL (New Construction)</v>
      </c>
      <c r="D219" t="s">
        <v>11</v>
      </c>
      <c r="E219" t="s">
        <v>279</v>
      </c>
      <c r="F219" t="s">
        <v>13</v>
      </c>
      <c r="G219">
        <v>75235</v>
      </c>
      <c r="H219">
        <v>2004</v>
      </c>
      <c r="I219" s="1">
        <v>0</v>
      </c>
      <c r="J219" s="1">
        <v>0</v>
      </c>
    </row>
    <row r="220" spans="1:11" x14ac:dyDescent="0.35">
      <c r="A220">
        <v>406915</v>
      </c>
      <c r="B220">
        <v>1154939</v>
      </c>
      <c r="C220" t="str">
        <f>"WINGS FOR LIFE TEXAS"</f>
        <v>WINGS FOR LIFE TEXAS</v>
      </c>
      <c r="D220" t="s">
        <v>11</v>
      </c>
      <c r="E220" t="s">
        <v>280</v>
      </c>
      <c r="F220" t="s">
        <v>281</v>
      </c>
      <c r="G220">
        <v>78124</v>
      </c>
      <c r="H220">
        <v>2004</v>
      </c>
      <c r="I220" s="1">
        <v>1371.6</v>
      </c>
      <c r="J220" s="1">
        <v>1524</v>
      </c>
      <c r="K220" s="1">
        <v>1371.6</v>
      </c>
    </row>
    <row r="221" spans="1:11" x14ac:dyDescent="0.35">
      <c r="A221">
        <v>425042</v>
      </c>
      <c r="B221">
        <v>1194036</v>
      </c>
      <c r="C221" t="str">
        <f>"WONDERLAND EDUCATIONAL ESTATE"</f>
        <v>WONDERLAND EDUCATIONAL ESTATE</v>
      </c>
      <c r="D221" t="s">
        <v>11</v>
      </c>
      <c r="E221" t="s">
        <v>282</v>
      </c>
      <c r="F221" t="s">
        <v>21</v>
      </c>
      <c r="G221">
        <v>77021</v>
      </c>
      <c r="H221">
        <v>2004</v>
      </c>
      <c r="I221" s="1">
        <v>7545.6</v>
      </c>
      <c r="J221" s="1">
        <v>9432</v>
      </c>
    </row>
    <row r="222" spans="1:11" x14ac:dyDescent="0.35">
      <c r="A222">
        <v>403751</v>
      </c>
      <c r="B222">
        <v>1105482</v>
      </c>
      <c r="C222" t="str">
        <f>"YMCA CHILDCARE AND CHARTER SCHOOL AT TEXAS MEDICAL CENTER"</f>
        <v>YMCA CHILDCARE AND CHARTER SCHOOL AT TEXAS MEDICAL CENTER</v>
      </c>
      <c r="D222" t="s">
        <v>11</v>
      </c>
      <c r="E222" t="s">
        <v>283</v>
      </c>
      <c r="F222" t="s">
        <v>21</v>
      </c>
      <c r="G222">
        <v>77021</v>
      </c>
      <c r="H222">
        <v>2004</v>
      </c>
      <c r="I222" s="1">
        <v>540</v>
      </c>
      <c r="J222" s="1">
        <v>600</v>
      </c>
    </row>
    <row r="223" spans="1:11" x14ac:dyDescent="0.35">
      <c r="A223">
        <v>427210</v>
      </c>
      <c r="B223">
        <v>1183047</v>
      </c>
      <c r="C223" t="str">
        <f>"YOUNG LEARNERS"</f>
        <v>YOUNG LEARNERS</v>
      </c>
      <c r="D223" t="s">
        <v>11</v>
      </c>
      <c r="E223" t="s">
        <v>284</v>
      </c>
      <c r="F223" t="s">
        <v>21</v>
      </c>
      <c r="G223">
        <v>77057</v>
      </c>
      <c r="H223">
        <v>2004</v>
      </c>
      <c r="I223" s="1">
        <v>25950.6</v>
      </c>
      <c r="J223" s="1">
        <v>28834</v>
      </c>
    </row>
    <row r="224" spans="1:11" x14ac:dyDescent="0.35">
      <c r="A224">
        <v>432857</v>
      </c>
      <c r="B224">
        <v>1205847</v>
      </c>
      <c r="C224" t="str">
        <f>"YOUNG SCHOLARS ACADEMY FOR EXCELLENCE"</f>
        <v>YOUNG SCHOLARS ACADEMY FOR EXCELLENCE</v>
      </c>
      <c r="D224" t="s">
        <v>11</v>
      </c>
      <c r="E224" t="s">
        <v>285</v>
      </c>
      <c r="F224" t="s">
        <v>21</v>
      </c>
      <c r="G224">
        <v>77002</v>
      </c>
      <c r="H224">
        <v>2004</v>
      </c>
      <c r="I224" s="1">
        <v>0</v>
      </c>
      <c r="J224" s="1">
        <v>0</v>
      </c>
    </row>
    <row r="225" spans="1:10" x14ac:dyDescent="0.35">
      <c r="A225">
        <v>405136</v>
      </c>
      <c r="B225">
        <v>1109554</v>
      </c>
      <c r="C225" t="str">
        <f>"ZOE LEARNING ACADEMY"</f>
        <v>ZOE LEARNING ACADEMY</v>
      </c>
      <c r="D225" t="s">
        <v>11</v>
      </c>
      <c r="E225" t="s">
        <v>286</v>
      </c>
      <c r="F225" t="s">
        <v>21</v>
      </c>
      <c r="G225">
        <v>77021</v>
      </c>
      <c r="H225">
        <v>2004</v>
      </c>
      <c r="I225" s="1">
        <v>2149.1999999999998</v>
      </c>
      <c r="J225" s="1">
        <v>2388</v>
      </c>
    </row>
    <row r="226" spans="1:10" x14ac:dyDescent="0.35">
      <c r="A226">
        <v>405136</v>
      </c>
      <c r="B226">
        <v>1109589</v>
      </c>
      <c r="C226" t="str">
        <f>"ZOE LEARNING ACADEMY"</f>
        <v>ZOE LEARNING ACADEMY</v>
      </c>
      <c r="D226" t="s">
        <v>11</v>
      </c>
      <c r="E226" t="s">
        <v>286</v>
      </c>
      <c r="F226" t="s">
        <v>21</v>
      </c>
      <c r="G226">
        <v>77021</v>
      </c>
      <c r="H226">
        <v>2004</v>
      </c>
      <c r="I226" s="1">
        <v>864</v>
      </c>
      <c r="J226" s="1">
        <v>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2004_School_Funding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Piggy</cp:lastModifiedBy>
  <dcterms:created xsi:type="dcterms:W3CDTF">2021-08-03T21:51:00Z</dcterms:created>
  <dcterms:modified xsi:type="dcterms:W3CDTF">2021-08-03T21:51:00Z</dcterms:modified>
</cp:coreProperties>
</file>