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School/"/>
    </mc:Choice>
  </mc:AlternateContent>
  <xr:revisionPtr revIDLastSave="0" documentId="13_ncr:4000b_{1CDF9AB6-8BF0-41C9-8200-F63A122D6F2F}" xr6:coauthVersionLast="47" xr6:coauthVersionMax="47" xr10:uidLastSave="{00000000-0000-0000-0000-000000000000}"/>
  <bookViews>
    <workbookView xWindow="-110" yWindow="-110" windowWidth="19420" windowHeight="10420"/>
  </bookViews>
  <sheets>
    <sheet name="2006_School_Funding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</calcChain>
</file>

<file path=xl/sharedStrings.xml><?xml version="1.0" encoding="utf-8"?>
<sst xmlns="http://schemas.openxmlformats.org/spreadsheetml/2006/main" count="818" uniqueCount="306">
  <si>
    <t>471 Application Number</t>
  </si>
  <si>
    <t>FRN</t>
  </si>
  <si>
    <t>Applicant Name</t>
  </si>
  <si>
    <t>Application Type</t>
  </si>
  <si>
    <t>Applicant Street Address1</t>
  </si>
  <si>
    <t>Applicant City</t>
  </si>
  <si>
    <t>Applicant Zip Code</t>
  </si>
  <si>
    <t>Funding Year</t>
  </si>
  <si>
    <t>Committed Amount</t>
  </si>
  <si>
    <t>Cmtd Total Cost</t>
  </si>
  <si>
    <t>Total Authorized Disbursement</t>
  </si>
  <si>
    <t>SCHOOL</t>
  </si>
  <si>
    <t>10327 RYLIE ROAD</t>
  </si>
  <si>
    <t>DALLAS</t>
  </si>
  <si>
    <t>6901 S. WESTMORELAND RD</t>
  </si>
  <si>
    <t>219 SOUTH FIRST STREET</t>
  </si>
  <si>
    <t>ABBOTT</t>
  </si>
  <si>
    <t>P.O BOX 20589</t>
  </si>
  <si>
    <t>HOUSTON</t>
  </si>
  <si>
    <t>12825 SUMMIT RIDGE DRIVE</t>
  </si>
  <si>
    <t>806 N COLORADO</t>
  </si>
  <si>
    <t>ADRIAN</t>
  </si>
  <si>
    <t>3222 103RD ST</t>
  </si>
  <si>
    <t>LUBBOCK</t>
  </si>
  <si>
    <t>216 EAST 4TH. STREET</t>
  </si>
  <si>
    <t>AUSTIN</t>
  </si>
  <si>
    <t>5500 EL CAMINO DEL REY</t>
  </si>
  <si>
    <t>227 EROSS STREET</t>
  </si>
  <si>
    <t>SAN ANTONIO</t>
  </si>
  <si>
    <t>515 S 9TH ST</t>
  </si>
  <si>
    <t>MEMPHIS</t>
  </si>
  <si>
    <t>13714 LOOKOUT RD</t>
  </si>
  <si>
    <t>2834 JENSEN DRIVE</t>
  </si>
  <si>
    <t>2903 JENSEN DR</t>
  </si>
  <si>
    <t>HCR 01 BOX 152A</t>
  </si>
  <si>
    <t>LEAKEY</t>
  </si>
  <si>
    <t>3900 RUGGED DR</t>
  </si>
  <si>
    <t>9001 DIANA DR</t>
  </si>
  <si>
    <t>EL PASO</t>
  </si>
  <si>
    <t>2101 MENARD HIGHWAY</t>
  </si>
  <si>
    <t>BRADY</t>
  </si>
  <si>
    <t>PO BOX 949</t>
  </si>
  <si>
    <t>NEMO</t>
  </si>
  <si>
    <t>802 AUTUMN CIRCLE</t>
  </si>
  <si>
    <t>COLLEGE STATION</t>
  </si>
  <si>
    <t>2507 CENTRAL FREEWAY E.</t>
  </si>
  <si>
    <t>WICHITA FALLS</t>
  </si>
  <si>
    <t>5467 ROGERS HILL ROAD</t>
  </si>
  <si>
    <t>WEST</t>
  </si>
  <si>
    <t>203 S TENTH</t>
  </si>
  <si>
    <t>BUCKHOLTS</t>
  </si>
  <si>
    <t>400 TALBOT</t>
  </si>
  <si>
    <t>CANUTILLO</t>
  </si>
  <si>
    <t>7900 MESA DRIVE</t>
  </si>
  <si>
    <t>2220 NW MILITARY HWY</t>
  </si>
  <si>
    <t>1403 N SAINT MARYS ST</t>
  </si>
  <si>
    <t>1638 ANN ARBOR ST</t>
  </si>
  <si>
    <t>7803 LITTLE YORK RD</t>
  </si>
  <si>
    <t>304 RANCH STREET</t>
  </si>
  <si>
    <t>ROPESVILLE</t>
  </si>
  <si>
    <t>4100 COLGATE AVE</t>
  </si>
  <si>
    <t>4005 CHEENA DR</t>
  </si>
  <si>
    <t>901 E 10TH ST</t>
  </si>
  <si>
    <t>CORSICANA</t>
  </si>
  <si>
    <t>8225 S. BROADWAY</t>
  </si>
  <si>
    <t>TYLER</t>
  </si>
  <si>
    <t>1102 PINEMONT AVE.</t>
  </si>
  <si>
    <t>1023 PINEMONT</t>
  </si>
  <si>
    <t>802 OBLATE</t>
  </si>
  <si>
    <t>3161 SOUTH 23RD ST</t>
  </si>
  <si>
    <t>ABILENE</t>
  </si>
  <si>
    <t>209 N 11TH ST</t>
  </si>
  <si>
    <t>BEAUMONT</t>
  </si>
  <si>
    <t>1306 EAST GIBBS</t>
  </si>
  <si>
    <t>DEL RIO</t>
  </si>
  <si>
    <t>1720 EAST HILLSIDE ROAD</t>
  </si>
  <si>
    <t>LAREDO</t>
  </si>
  <si>
    <t>4009 JOSEPH HARDIN DRIVE</t>
  </si>
  <si>
    <t>924 WAYNE STREET</t>
  </si>
  <si>
    <t>6215 MANCHACA ROAD BLDG D</t>
  </si>
  <si>
    <t>Austin</t>
  </si>
  <si>
    <t>3380 FANNIN</t>
  </si>
  <si>
    <t>HIGHWAY 922</t>
  </si>
  <si>
    <t>ERA</t>
  </si>
  <si>
    <t>2900 WEST  WASHINGTON STREET SUITE 12</t>
  </si>
  <si>
    <t>STEPHENVILLE</t>
  </si>
  <si>
    <t>504 EAST WASHINGTON STREET</t>
  </si>
  <si>
    <t>BROWNSVILLE</t>
  </si>
  <si>
    <t>20500 FM 531</t>
  </si>
  <si>
    <t>HALLETTSVILLE</t>
  </si>
  <si>
    <t>237 TOBIN PL</t>
  </si>
  <si>
    <t>250 WASHINGTON ST</t>
  </si>
  <si>
    <t>2109 WEBSTER</t>
  </si>
  <si>
    <t>132 HIGHWAY 95 SOUTH</t>
  </si>
  <si>
    <t>ELGIN</t>
  </si>
  <si>
    <t>2601 AVENUE N</t>
  </si>
  <si>
    <t>GALVESTON</t>
  </si>
  <si>
    <t>6103 HOUSTON SCHOOL RD</t>
  </si>
  <si>
    <t>400 COLLEGE</t>
  </si>
  <si>
    <t>GAUSE</t>
  </si>
  <si>
    <t>6903 SUNBELT DR SO.</t>
  </si>
  <si>
    <t>436 SOUTH MAIN STREET</t>
  </si>
  <si>
    <t>6001 GULF FWY</t>
  </si>
  <si>
    <t>214 S GARLAND AVE</t>
  </si>
  <si>
    <t>GARLAND</t>
  </si>
  <si>
    <t>1214 LINCOLN STREET</t>
  </si>
  <si>
    <t>8430 WESTGLEN</t>
  </si>
  <si>
    <t>6210 ROOKIN STREET</t>
  </si>
  <si>
    <t>4500 SOUTH WAYSIDE SUITE 102</t>
  </si>
  <si>
    <t>PO BOX 18854</t>
  </si>
  <si>
    <t>2001 KATY AVE</t>
  </si>
  <si>
    <t>BAY CITY</t>
  </si>
  <si>
    <t>426 N SAN FELIPE AVE</t>
  </si>
  <si>
    <t>6920 CHIMNEY ROCK RD</t>
  </si>
  <si>
    <t>1912 MARION ST</t>
  </si>
  <si>
    <t>1408 JAMES ST</t>
  </si>
  <si>
    <t>ROSENBERG</t>
  </si>
  <si>
    <t>3204 ENNIS STREET</t>
  </si>
  <si>
    <t>1020 CORAL ST</t>
  </si>
  <si>
    <t>3400 EVERGREEN DR</t>
  </si>
  <si>
    <t>902 WEST 8TH STREET</t>
  </si>
  <si>
    <t>1513 N 6TH ST</t>
  </si>
  <si>
    <t>17406 BAMWOOD ROAD</t>
  </si>
  <si>
    <t>5400  GRIGGS  RD</t>
  </si>
  <si>
    <t>2201 WEST PLANO PARKWAY SUITE 125</t>
  </si>
  <si>
    <t>PLANO</t>
  </si>
  <si>
    <t>1401 WEST AVENUE #3</t>
  </si>
  <si>
    <t>8509 FM 969 BUILDING C</t>
  </si>
  <si>
    <t>6600 SANFORD  ROAD</t>
  </si>
  <si>
    <t>401 EAST MAIN</t>
  </si>
  <si>
    <t>LASARA</t>
  </si>
  <si>
    <t>505 PIERCE ST</t>
  </si>
  <si>
    <t>LINDALE</t>
  </si>
  <si>
    <t>1105 EL PASO ST.</t>
  </si>
  <si>
    <t>LONGVIEW</t>
  </si>
  <si>
    <t>HIGHWAY 303</t>
  </si>
  <si>
    <t>LOOP</t>
  </si>
  <si>
    <t>717 WIGHTMAN RD</t>
  </si>
  <si>
    <t>MATAGORDA</t>
  </si>
  <si>
    <t>1501 HIGH ST</t>
  </si>
  <si>
    <t>1110 N 16TH ST</t>
  </si>
  <si>
    <t>1897 MEYERSVILLE RD</t>
  </si>
  <si>
    <t>MEYERSVILLE</t>
  </si>
  <si>
    <t>321 CUSTER RD</t>
  </si>
  <si>
    <t>MIAMI</t>
  </si>
  <si>
    <t>6700 MOUNT CARMEL ST</t>
  </si>
  <si>
    <t>5950 KELLY DR</t>
  </si>
  <si>
    <t>EAST BANKHEAD</t>
  </si>
  <si>
    <t>MURCHISON</t>
  </si>
  <si>
    <t>2018 ALLEN ST</t>
  </si>
  <si>
    <t>NURSERY DRIVE</t>
  </si>
  <si>
    <t>NURSERY</t>
  </si>
  <si>
    <t>12301 NORTH LAMAR BLVD.</t>
  </si>
  <si>
    <t>5900 W PIONEER PKWY</t>
  </si>
  <si>
    <t>ARLINGTON</t>
  </si>
  <si>
    <t>1600 9TH AVE N</t>
  </si>
  <si>
    <t>TEXAS CITY</t>
  </si>
  <si>
    <t>1702 9TH ST</t>
  </si>
  <si>
    <t>GALENA PARK</t>
  </si>
  <si>
    <t>2405 NAVIGATION BLVD</t>
  </si>
  <si>
    <t>400 CALLAGHAN STREET</t>
  </si>
  <si>
    <t>10114 HIGHWAY 6</t>
  </si>
  <si>
    <t>HITCHCOCK</t>
  </si>
  <si>
    <t>6703 WHITEFRIARS DR</t>
  </si>
  <si>
    <t>577 WASHINGTON ST</t>
  </si>
  <si>
    <t>EAGLE PASS</t>
  </si>
  <si>
    <t>411 SW 24TH. STREET</t>
  </si>
  <si>
    <t>2010 BENSON ST</t>
  </si>
  <si>
    <t>901 13th Street</t>
  </si>
  <si>
    <t>Galvaston</t>
  </si>
  <si>
    <t>309 AVE D</t>
  </si>
  <si>
    <t>PENELOPE</t>
  </si>
  <si>
    <t>PO BOX 394, HIGHWAY 303</t>
  </si>
  <si>
    <t>PEP</t>
  </si>
  <si>
    <t>5100 W PLANO PKWY</t>
  </si>
  <si>
    <t>4422 BALKIN</t>
  </si>
  <si>
    <t>1215 N SAINT MARYS ST</t>
  </si>
  <si>
    <t>2320 OAKCLIFF ST</t>
  </si>
  <si>
    <t>2950 BROADWAY</t>
  </si>
  <si>
    <t>2102 N 23RD ST</t>
  </si>
  <si>
    <t>WACO</t>
  </si>
  <si>
    <t>916 MAJESTIC ST</t>
  </si>
  <si>
    <t>4106 SW 51ST AVE</t>
  </si>
  <si>
    <t>AMARILLO</t>
  </si>
  <si>
    <t>1310 PENNSYLVANIA AVE SUITE C</t>
  </si>
  <si>
    <t>3875 1/2 SOUTH STABLE</t>
  </si>
  <si>
    <t>CORPUS CHRISTI</t>
  </si>
  <si>
    <t>4902 34TH STREET, SUTE 10</t>
  </si>
  <si>
    <t>6785 CAMP BOWIE BLVD, #200</t>
  </si>
  <si>
    <t>FORT WORTH</t>
  </si>
  <si>
    <t>2525 GRANDVIEW AVE., SUITE 600</t>
  </si>
  <si>
    <t>ODESSA</t>
  </si>
  <si>
    <t>500 CENTURY PLAZA DRIVE, #140</t>
  </si>
  <si>
    <t>3303 WEST ILLINOIS, # 14</t>
  </si>
  <si>
    <t>MIDLAND</t>
  </si>
  <si>
    <t>1001 EAST VETERANS MEMORIAL BLVD  SUITE 301C</t>
  </si>
  <si>
    <t>KILLEEN</t>
  </si>
  <si>
    <t>ROUTE 3, BOX 337</t>
  </si>
  <si>
    <t>LOS FRESNOS</t>
  </si>
  <si>
    <t>2300 WILLOWICK RD</t>
  </si>
  <si>
    <t>907 RUNNEBURG RD</t>
  </si>
  <si>
    <t>CROSBY</t>
  </si>
  <si>
    <t>111 N CHURCH ST</t>
  </si>
  <si>
    <t>ROCKPORT</t>
  </si>
  <si>
    <t>615 MCDADE ST</t>
  </si>
  <si>
    <t>CONROE</t>
  </si>
  <si>
    <t>PO BOX 1087</t>
  </si>
  <si>
    <t>SAN MARCOS</t>
  </si>
  <si>
    <t>1301 HIGHWAY 123</t>
  </si>
  <si>
    <t>1826 BASSE ROAD</t>
  </si>
  <si>
    <t>5703 BLANCO RD</t>
  </si>
  <si>
    <t>5815 ALDER DRIVE</t>
  </si>
  <si>
    <t>RR 2 BOX 103</t>
  </si>
  <si>
    <t>SLATON</t>
  </si>
  <si>
    <t>635 MARY CLIFF ROAD</t>
  </si>
  <si>
    <t>4213 MANGUM RD</t>
  </si>
  <si>
    <t>1111 S CHERRY ST</t>
  </si>
  <si>
    <t>TOMBALL</t>
  </si>
  <si>
    <t>850 FORSYTHE ST</t>
  </si>
  <si>
    <t>7901 BAY BRANCH DRIVE</t>
  </si>
  <si>
    <t>THE WOODLANDS</t>
  </si>
  <si>
    <t>205 W HUISACHE AVE</t>
  </si>
  <si>
    <t>1015 E HARRISON ST</t>
  </si>
  <si>
    <t>HARLINGEN</t>
  </si>
  <si>
    <t>5500 LAURELCREEK WAY</t>
  </si>
  <si>
    <t>1300 GALVESTON ST</t>
  </si>
  <si>
    <t>1420 OLD GATE LN</t>
  </si>
  <si>
    <t>2510 WESTRIDGE ST</t>
  </si>
  <si>
    <t>11740 JOAN OF ARC DR</t>
  </si>
  <si>
    <t>118 LOWELL ST</t>
  </si>
  <si>
    <t>501 TIDWELL RD</t>
  </si>
  <si>
    <t>8134 PARK PLACE BLVD</t>
  </si>
  <si>
    <t>3131 EL DORADO BLVD</t>
  </si>
  <si>
    <t>2601 SPRING STUEBNER RD</t>
  </si>
  <si>
    <t>SPRING</t>
  </si>
  <si>
    <t>6646 ADDICKS SATSUMA RD</t>
  </si>
  <si>
    <t>5100 DABNEY ST</t>
  </si>
  <si>
    <t>2213 OLD ALVIN ROAD</t>
  </si>
  <si>
    <t>PEARLAND</t>
  </si>
  <si>
    <t>8825 KEMPWOOD DR</t>
  </si>
  <si>
    <t>1147 CUPPLES RD</t>
  </si>
  <si>
    <t>5630 W COMMERCE ST</t>
  </si>
  <si>
    <t>101 SAINT JOSEPH DR</t>
  </si>
  <si>
    <t>1811 CAROLINA ST</t>
  </si>
  <si>
    <t>BAYTOWN</t>
  </si>
  <si>
    <t>2630 AUSTIN PKWY</t>
  </si>
  <si>
    <t>SUGAR LAND</t>
  </si>
  <si>
    <t>119 OCTAVIA PL</t>
  </si>
  <si>
    <t>1202 FAIR AVE</t>
  </si>
  <si>
    <t>1716 SINGLETON BLVD</t>
  </si>
  <si>
    <t>410 NORTH TYLER</t>
  </si>
  <si>
    <t>BEEVILLE</t>
  </si>
  <si>
    <t>10703 WURZBACH RD</t>
  </si>
  <si>
    <t>1833 SAGE RD</t>
  </si>
  <si>
    <t>112 MARCIA PL</t>
  </si>
  <si>
    <t>1519 HOUSTON ST  PO BOX 520</t>
  </si>
  <si>
    <t>302 W CHURCH ST</t>
  </si>
  <si>
    <t>EL CAMPO</t>
  </si>
  <si>
    <t>812 MAIN ST</t>
  </si>
  <si>
    <t>PASADENA</t>
  </si>
  <si>
    <t>811 W DONOVAN ST</t>
  </si>
  <si>
    <t>3600 BRINKMAN ST</t>
  </si>
  <si>
    <t>6622 HASKELL ST</t>
  </si>
  <si>
    <t>5927 WIGTON DR</t>
  </si>
  <si>
    <t>6802 BUFFALO SPEEDWAY</t>
  </si>
  <si>
    <t>7TH &amp; SCHOOL STREETS</t>
  </si>
  <si>
    <t>SUNDOWN</t>
  </si>
  <si>
    <t>3000 S. IH 35 #410</t>
  </si>
  <si>
    <t>7508 FM531</t>
  </si>
  <si>
    <t>SWEET HOME</t>
  </si>
  <si>
    <t>1400 EAST AVENUE B</t>
  </si>
  <si>
    <t>TEMPLE</t>
  </si>
  <si>
    <t>20955 W TEJAS TRL</t>
  </si>
  <si>
    <t>530 NORTH SAM HOUSTON, EAST, SUITE 213</t>
  </si>
  <si>
    <t>8612 TRIPPIE STREET</t>
  </si>
  <si>
    <t>LANCASTER</t>
  </si>
  <si>
    <t>1111 PIERCE</t>
  </si>
  <si>
    <t>P.O. BOX 311268</t>
  </si>
  <si>
    <t>NEW BRAUNFELS</t>
  </si>
  <si>
    <t>807 NORTH 8TH STREET</t>
  </si>
  <si>
    <t>901 NEAL ST</t>
  </si>
  <si>
    <t>710 N 12TH ST</t>
  </si>
  <si>
    <t>400 PINE DR</t>
  </si>
  <si>
    <t>DICKINSON</t>
  </si>
  <si>
    <t>12121 VETERANS MEMORIAL DR.39</t>
  </si>
  <si>
    <t>1730 N. NORTHWEST LOOP 23</t>
  </si>
  <si>
    <t>400 S I ROAD</t>
  </si>
  <si>
    <t>PHARR</t>
  </si>
  <si>
    <t>12330 VICKERY ST</t>
  </si>
  <si>
    <t>595 COUNTY RD 182</t>
  </si>
  <si>
    <t>RR 4</t>
  </si>
  <si>
    <t>HEREFORD</t>
  </si>
  <si>
    <t>5TH &amp; TERRY</t>
  </si>
  <si>
    <t>WELLMAN</t>
  </si>
  <si>
    <t>244 LYNCH AVE</t>
  </si>
  <si>
    <t>WESTHOFF</t>
  </si>
  <si>
    <t>RR 2 BOX 58D</t>
  </si>
  <si>
    <t>LOTT</t>
  </si>
  <si>
    <t>FARM ROAD 809</t>
  </si>
  <si>
    <t>WILDORADO</t>
  </si>
  <si>
    <t>1104 COUNTRY LANE</t>
  </si>
  <si>
    <t>MARION</t>
  </si>
  <si>
    <t>5807 CALHOUN ROAD</t>
  </si>
  <si>
    <t>6701 CULLEN BLVD</t>
  </si>
  <si>
    <t>5430 MILLER AVE</t>
  </si>
  <si>
    <t>FT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</si>
</sst>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536832</v>
      </c>
      <c r="B2">
        <v>1485601</v>
      </c>
      <c r="C2" t="str">
        <f>"A + ACADEMY"</f>
        <v>A + ACADEMY</v>
      </c>
      <c r="D2" t="s">
        <v>11</v>
      </c>
      <c r="E2" t="s">
        <v>12</v>
      </c>
      <c r="F2" t="s">
        <v>13</v>
      </c>
      <c r="G2">
        <v>75217</v>
      </c>
      <c r="H2">
        <v>2006</v>
      </c>
      <c r="I2" s="1">
        <v>9361.92</v>
      </c>
      <c r="J2" s="1">
        <v>11702.4</v>
      </c>
    </row>
    <row r="3" spans="1:11" x14ac:dyDescent="0.35">
      <c r="A3">
        <v>528743</v>
      </c>
      <c r="B3">
        <v>1481535</v>
      </c>
      <c r="C3" t="str">
        <f>"A.W. BROWN FELLOWSHIP CHARTER SCHOOL"</f>
        <v>A.W. BROWN FELLOWSHIP CHARTER SCHOOL</v>
      </c>
      <c r="D3" t="s">
        <v>11</v>
      </c>
      <c r="E3" t="s">
        <v>14</v>
      </c>
      <c r="F3" t="s">
        <v>13</v>
      </c>
      <c r="G3">
        <v>75237</v>
      </c>
      <c r="H3">
        <v>2006</v>
      </c>
      <c r="I3" s="1">
        <v>0</v>
      </c>
      <c r="J3" s="1">
        <v>0</v>
      </c>
    </row>
    <row r="4" spans="1:11" x14ac:dyDescent="0.35">
      <c r="A4">
        <v>512436</v>
      </c>
      <c r="B4">
        <v>1451472</v>
      </c>
      <c r="C4" t="str">
        <f>"ABBOTT INDEP SCHOOL DISTRICT"</f>
        <v>ABBOTT INDEP SCHOOL DISTRICT</v>
      </c>
      <c r="D4" t="s">
        <v>11</v>
      </c>
      <c r="E4" t="s">
        <v>15</v>
      </c>
      <c r="F4" t="s">
        <v>16</v>
      </c>
      <c r="G4">
        <v>76621</v>
      </c>
      <c r="H4">
        <v>2006</v>
      </c>
      <c r="I4" s="1">
        <v>7344</v>
      </c>
      <c r="J4" s="1">
        <v>12240</v>
      </c>
      <c r="K4" s="1">
        <v>7322.4</v>
      </c>
    </row>
    <row r="5" spans="1:11" x14ac:dyDescent="0.35">
      <c r="A5">
        <v>505398</v>
      </c>
      <c r="B5">
        <v>1388784</v>
      </c>
      <c r="C5" t="str">
        <f>"ACCELERATED INTERMEDIATE ACADEMY"</f>
        <v>ACCELERATED INTERMEDIATE ACADEMY</v>
      </c>
      <c r="D5" t="s">
        <v>11</v>
      </c>
      <c r="E5" t="s">
        <v>17</v>
      </c>
      <c r="F5" t="s">
        <v>18</v>
      </c>
      <c r="G5">
        <v>77225</v>
      </c>
      <c r="H5">
        <v>2006</v>
      </c>
      <c r="I5" s="1">
        <v>1847.66</v>
      </c>
      <c r="J5" s="1">
        <v>2052.96</v>
      </c>
      <c r="K5" s="1">
        <v>1820.98</v>
      </c>
    </row>
    <row r="6" spans="1:11" x14ac:dyDescent="0.35">
      <c r="A6">
        <v>505399</v>
      </c>
      <c r="B6">
        <v>1388789</v>
      </c>
      <c r="C6" t="str">
        <f>"ACCELERATED INTERMEDIATE ACADEMY"</f>
        <v>ACCELERATED INTERMEDIATE ACADEMY</v>
      </c>
      <c r="D6" t="s">
        <v>11</v>
      </c>
      <c r="E6" t="s">
        <v>19</v>
      </c>
      <c r="F6" t="s">
        <v>18</v>
      </c>
      <c r="G6">
        <v>77085</v>
      </c>
      <c r="H6">
        <v>2006</v>
      </c>
      <c r="I6" s="1">
        <v>758.59</v>
      </c>
      <c r="J6" s="1">
        <v>842.88</v>
      </c>
      <c r="K6" s="1">
        <v>644.01</v>
      </c>
    </row>
    <row r="7" spans="1:11" x14ac:dyDescent="0.35">
      <c r="A7">
        <v>528298</v>
      </c>
      <c r="B7">
        <v>1484306</v>
      </c>
      <c r="C7" t="str">
        <f>"ADRIAN INDEP SCHOOL DISTRICT"</f>
        <v>ADRIAN INDEP SCHOOL DISTRICT</v>
      </c>
      <c r="D7" t="s">
        <v>11</v>
      </c>
      <c r="E7" t="s">
        <v>20</v>
      </c>
      <c r="F7" t="s">
        <v>21</v>
      </c>
      <c r="G7">
        <v>79001</v>
      </c>
      <c r="H7">
        <v>2006</v>
      </c>
      <c r="I7" s="1">
        <v>6720</v>
      </c>
      <c r="J7" s="1">
        <v>8400</v>
      </c>
      <c r="K7" s="1">
        <v>6720</v>
      </c>
    </row>
    <row r="8" spans="1:11" x14ac:dyDescent="0.35">
      <c r="A8">
        <v>531127</v>
      </c>
      <c r="B8">
        <v>1466026</v>
      </c>
      <c r="C8" t="str">
        <f>"ALL SAINTS SCHOOL"</f>
        <v>ALL SAINTS SCHOOL</v>
      </c>
      <c r="D8" t="s">
        <v>11</v>
      </c>
      <c r="E8" t="s">
        <v>22</v>
      </c>
      <c r="F8" t="s">
        <v>23</v>
      </c>
      <c r="G8">
        <v>79423</v>
      </c>
      <c r="H8">
        <v>2006</v>
      </c>
      <c r="I8" s="1">
        <v>480</v>
      </c>
      <c r="J8" s="1">
        <v>2400</v>
      </c>
    </row>
    <row r="9" spans="1:11" x14ac:dyDescent="0.35">
      <c r="A9">
        <v>523376</v>
      </c>
      <c r="B9">
        <v>1441077</v>
      </c>
      <c r="C9" t="str">
        <f>"AMERICAN YOUTHWORKS CHARTER SCHOOL"</f>
        <v>AMERICAN YOUTHWORKS CHARTER SCHOOL</v>
      </c>
      <c r="D9" t="s">
        <v>11</v>
      </c>
      <c r="E9" t="s">
        <v>24</v>
      </c>
      <c r="F9" t="s">
        <v>25</v>
      </c>
      <c r="G9">
        <v>78701</v>
      </c>
      <c r="H9">
        <v>2006</v>
      </c>
      <c r="I9" s="1">
        <v>3475.2</v>
      </c>
      <c r="J9" s="1">
        <v>4344</v>
      </c>
      <c r="K9" s="1">
        <v>0</v>
      </c>
    </row>
    <row r="10" spans="1:11" x14ac:dyDescent="0.35">
      <c r="A10">
        <v>531728</v>
      </c>
      <c r="B10">
        <v>1468217</v>
      </c>
      <c r="C10" t="str">
        <f>"AMIGOS POR VIDA-FRIENDS FOR LIFE CHARTER SCHOOL"</f>
        <v>AMIGOS POR VIDA-FRIENDS FOR LIFE CHARTER SCHOOL</v>
      </c>
      <c r="D10" t="s">
        <v>11</v>
      </c>
      <c r="E10" t="s">
        <v>26</v>
      </c>
      <c r="F10" t="s">
        <v>18</v>
      </c>
      <c r="G10">
        <v>77081</v>
      </c>
      <c r="H10">
        <v>2006</v>
      </c>
      <c r="I10" s="1">
        <v>12597.77</v>
      </c>
      <c r="J10" s="1">
        <v>13997.52</v>
      </c>
      <c r="K10" s="1">
        <v>6352.56</v>
      </c>
    </row>
    <row r="11" spans="1:11" x14ac:dyDescent="0.35">
      <c r="A11">
        <v>531728</v>
      </c>
      <c r="B11">
        <v>1468237</v>
      </c>
      <c r="C11" t="str">
        <f>"AMIGOS POR VIDA-FRIENDS FOR LIFE CHARTER SCHOOL"</f>
        <v>AMIGOS POR VIDA-FRIENDS FOR LIFE CHARTER SCHOOL</v>
      </c>
      <c r="D11" t="s">
        <v>11</v>
      </c>
      <c r="E11" t="s">
        <v>26</v>
      </c>
      <c r="F11" t="s">
        <v>18</v>
      </c>
      <c r="G11">
        <v>77081</v>
      </c>
      <c r="H11">
        <v>2006</v>
      </c>
      <c r="I11" s="1">
        <v>118.8</v>
      </c>
      <c r="J11" s="1">
        <v>132</v>
      </c>
      <c r="K11" s="1">
        <v>118.8</v>
      </c>
    </row>
    <row r="12" spans="1:11" x14ac:dyDescent="0.35">
      <c r="A12">
        <v>531728</v>
      </c>
      <c r="B12">
        <v>1468259</v>
      </c>
      <c r="C12" t="str">
        <f>"AMIGOS POR VIDA-FRIENDS FOR LIFE CHARTER SCHOOL"</f>
        <v>AMIGOS POR VIDA-FRIENDS FOR LIFE CHARTER SCHOOL</v>
      </c>
      <c r="D12" t="s">
        <v>11</v>
      </c>
      <c r="E12" t="s">
        <v>26</v>
      </c>
      <c r="F12" t="s">
        <v>18</v>
      </c>
      <c r="G12">
        <v>77081</v>
      </c>
      <c r="H12">
        <v>2006</v>
      </c>
      <c r="I12" s="1">
        <v>497.45</v>
      </c>
      <c r="J12" s="1">
        <v>552.72</v>
      </c>
      <c r="K12" s="1">
        <v>497.45</v>
      </c>
    </row>
    <row r="13" spans="1:11" x14ac:dyDescent="0.35">
      <c r="A13">
        <v>537815</v>
      </c>
      <c r="B13">
        <v>1489342</v>
      </c>
      <c r="C13" t="str">
        <f>"ANTIOCH CHRISTIAN ACADEMY"</f>
        <v>ANTIOCH CHRISTIAN ACADEMY</v>
      </c>
      <c r="D13" t="s">
        <v>11</v>
      </c>
      <c r="E13" t="s">
        <v>27</v>
      </c>
      <c r="F13" t="s">
        <v>28</v>
      </c>
      <c r="G13">
        <v>78202</v>
      </c>
      <c r="H13">
        <v>2006</v>
      </c>
      <c r="I13" s="1">
        <v>141.86000000000001</v>
      </c>
      <c r="J13" s="1">
        <v>709.32</v>
      </c>
    </row>
    <row r="14" spans="1:11" x14ac:dyDescent="0.35">
      <c r="A14">
        <v>518112</v>
      </c>
      <c r="B14">
        <v>1426072</v>
      </c>
      <c r="C14" t="str">
        <f>"AUSTIN ELEMENTARY SCHOOL"</f>
        <v>AUSTIN ELEMENTARY SCHOOL</v>
      </c>
      <c r="D14" t="s">
        <v>11</v>
      </c>
      <c r="E14" t="s">
        <v>29</v>
      </c>
      <c r="F14" t="s">
        <v>30</v>
      </c>
      <c r="G14">
        <v>79245</v>
      </c>
      <c r="H14">
        <v>2006</v>
      </c>
      <c r="I14" s="1">
        <v>2302.8000000000002</v>
      </c>
      <c r="J14" s="1">
        <v>2878.5</v>
      </c>
      <c r="K14" s="1">
        <v>2302.8000000000002</v>
      </c>
    </row>
    <row r="15" spans="1:11" x14ac:dyDescent="0.35">
      <c r="A15">
        <v>527265</v>
      </c>
      <c r="B15">
        <v>1453397</v>
      </c>
      <c r="C15" t="str">
        <f>"BELIEVER'S ACADEMY"</f>
        <v>BELIEVER'S ACADEMY</v>
      </c>
      <c r="D15" t="s">
        <v>11</v>
      </c>
      <c r="E15" t="s">
        <v>31</v>
      </c>
      <c r="F15" t="s">
        <v>28</v>
      </c>
      <c r="G15">
        <v>78233</v>
      </c>
      <c r="H15">
        <v>2006</v>
      </c>
      <c r="I15" s="1">
        <v>209.14</v>
      </c>
      <c r="J15" s="1">
        <v>522.84</v>
      </c>
      <c r="K15" s="1">
        <v>209.14</v>
      </c>
    </row>
    <row r="16" spans="1:11" x14ac:dyDescent="0.35">
      <c r="A16">
        <v>508876</v>
      </c>
      <c r="B16">
        <v>1398825</v>
      </c>
      <c r="C16" t="str">
        <f>"BENJI'S ACADEMY CHARTER SCHOOL"</f>
        <v>BENJI'S ACADEMY CHARTER SCHOOL</v>
      </c>
      <c r="D16" t="s">
        <v>11</v>
      </c>
      <c r="E16" t="s">
        <v>32</v>
      </c>
      <c r="F16" t="s">
        <v>18</v>
      </c>
      <c r="G16">
        <v>77026</v>
      </c>
      <c r="H16">
        <v>2006</v>
      </c>
      <c r="I16" s="1">
        <v>864</v>
      </c>
      <c r="J16" s="1">
        <v>960</v>
      </c>
    </row>
    <row r="17" spans="1:11" x14ac:dyDescent="0.35">
      <c r="A17">
        <v>508157</v>
      </c>
      <c r="B17">
        <v>1398786</v>
      </c>
      <c r="C17" t="str">
        <f>"BENJIE'S SPECIAL EDUCATION ACADEMY"</f>
        <v>BENJIE'S SPECIAL EDUCATION ACADEMY</v>
      </c>
      <c r="D17" t="s">
        <v>11</v>
      </c>
      <c r="E17" t="s">
        <v>33</v>
      </c>
      <c r="F17" t="s">
        <v>18</v>
      </c>
      <c r="G17">
        <v>77026</v>
      </c>
      <c r="H17">
        <v>2006</v>
      </c>
      <c r="I17" s="1">
        <v>1188</v>
      </c>
      <c r="J17" s="1">
        <v>1320</v>
      </c>
      <c r="K17" s="1">
        <v>1188</v>
      </c>
    </row>
    <row r="18" spans="1:11" x14ac:dyDescent="0.35">
      <c r="A18">
        <v>507405</v>
      </c>
      <c r="B18">
        <v>1444988</v>
      </c>
      <c r="C18" t="str">
        <f>"BIG SPRINGS CHARTER SCHOOL"</f>
        <v>BIG SPRINGS CHARTER SCHOOL</v>
      </c>
      <c r="D18" t="s">
        <v>11</v>
      </c>
      <c r="E18" t="s">
        <v>34</v>
      </c>
      <c r="F18" t="s">
        <v>35</v>
      </c>
      <c r="G18">
        <v>78873</v>
      </c>
      <c r="H18">
        <v>2006</v>
      </c>
      <c r="I18" s="1">
        <v>4320</v>
      </c>
      <c r="J18" s="1">
        <v>4800</v>
      </c>
      <c r="K18" s="1">
        <v>4320</v>
      </c>
    </row>
    <row r="19" spans="1:11" x14ac:dyDescent="0.35">
      <c r="A19">
        <v>506384</v>
      </c>
      <c r="B19">
        <v>1426172</v>
      </c>
      <c r="C19" t="str">
        <f>"BISHOP DUNNE HIGH SCHOOL"</f>
        <v>BISHOP DUNNE HIGH SCHOOL</v>
      </c>
      <c r="D19" t="s">
        <v>11</v>
      </c>
      <c r="E19" t="s">
        <v>36</v>
      </c>
      <c r="F19" t="s">
        <v>13</v>
      </c>
      <c r="G19">
        <v>75224</v>
      </c>
      <c r="H19">
        <v>2006</v>
      </c>
      <c r="I19" s="1">
        <v>3360</v>
      </c>
      <c r="J19" s="1">
        <v>8400</v>
      </c>
      <c r="K19" s="1">
        <v>2985.6</v>
      </c>
    </row>
    <row r="20" spans="1:11" x14ac:dyDescent="0.35">
      <c r="A20">
        <v>515213</v>
      </c>
      <c r="B20">
        <v>1453790</v>
      </c>
      <c r="C20" t="str">
        <f>"BLESSED SACRAMENT SCHOOL"</f>
        <v>BLESSED SACRAMENT SCHOOL</v>
      </c>
      <c r="D20" t="s">
        <v>11</v>
      </c>
      <c r="E20" t="s">
        <v>37</v>
      </c>
      <c r="F20" t="s">
        <v>38</v>
      </c>
      <c r="G20">
        <v>79904</v>
      </c>
      <c r="H20">
        <v>2006</v>
      </c>
      <c r="I20" s="1">
        <v>2700</v>
      </c>
      <c r="J20" s="1">
        <v>3000</v>
      </c>
      <c r="K20" s="1">
        <v>2700</v>
      </c>
    </row>
    <row r="21" spans="1:11" x14ac:dyDescent="0.35">
      <c r="A21">
        <v>514065</v>
      </c>
      <c r="B21">
        <v>1414388</v>
      </c>
      <c r="C21" t="str">
        <f>"BRADY MIDDLE SCHOOL"</f>
        <v>BRADY MIDDLE SCHOOL</v>
      </c>
      <c r="D21" t="s">
        <v>11</v>
      </c>
      <c r="E21" t="s">
        <v>39</v>
      </c>
      <c r="F21" t="s">
        <v>40</v>
      </c>
      <c r="G21">
        <v>76825</v>
      </c>
      <c r="H21">
        <v>2006</v>
      </c>
      <c r="I21" s="1">
        <v>0</v>
      </c>
      <c r="J21" s="1">
        <v>0</v>
      </c>
    </row>
    <row r="22" spans="1:11" x14ac:dyDescent="0.35">
      <c r="A22">
        <v>503579</v>
      </c>
      <c r="B22">
        <v>1390490</v>
      </c>
      <c r="C22" t="str">
        <f>"BRAZOS RIVER CHARTER SCHOOL"</f>
        <v>BRAZOS RIVER CHARTER SCHOOL</v>
      </c>
      <c r="D22" t="s">
        <v>11</v>
      </c>
      <c r="E22" t="s">
        <v>41</v>
      </c>
      <c r="F22" t="s">
        <v>42</v>
      </c>
      <c r="G22">
        <v>76070</v>
      </c>
      <c r="H22">
        <v>2006</v>
      </c>
      <c r="I22" s="1">
        <v>9139.2000000000007</v>
      </c>
      <c r="J22" s="1">
        <v>11424</v>
      </c>
      <c r="K22" s="1">
        <v>9139.2000000000007</v>
      </c>
    </row>
    <row r="23" spans="1:11" x14ac:dyDescent="0.35">
      <c r="A23">
        <v>506436</v>
      </c>
      <c r="B23">
        <v>1392175</v>
      </c>
      <c r="C23" t="str">
        <f>"BRAZOS SCHOOL FOR INQUIRY AND CREATIVITY"</f>
        <v>BRAZOS SCHOOL FOR INQUIRY AND CREATIVITY</v>
      </c>
      <c r="D23" t="s">
        <v>11</v>
      </c>
      <c r="E23" t="s">
        <v>43</v>
      </c>
      <c r="F23" t="s">
        <v>44</v>
      </c>
      <c r="G23">
        <v>77840</v>
      </c>
      <c r="H23">
        <v>2006</v>
      </c>
      <c r="I23" s="1">
        <v>1033.78</v>
      </c>
      <c r="J23" s="1">
        <v>1148.6400000000001</v>
      </c>
      <c r="K23" s="1">
        <v>224.8</v>
      </c>
    </row>
    <row r="24" spans="1:11" x14ac:dyDescent="0.35">
      <c r="A24">
        <v>524614</v>
      </c>
      <c r="B24">
        <v>1452978</v>
      </c>
      <c r="C24" t="str">
        <f>"BRAZOS SCHOOL FOR INQUIRY AND CREATIVITY"</f>
        <v>BRAZOS SCHOOL FOR INQUIRY AND CREATIVITY</v>
      </c>
      <c r="D24" t="s">
        <v>11</v>
      </c>
      <c r="E24" t="s">
        <v>43</v>
      </c>
      <c r="F24" t="s">
        <v>44</v>
      </c>
      <c r="G24">
        <v>77840</v>
      </c>
      <c r="H24">
        <v>2006</v>
      </c>
      <c r="I24" s="1">
        <v>10800</v>
      </c>
      <c r="J24" s="1">
        <v>12000</v>
      </c>
      <c r="K24" s="1">
        <v>2912.85</v>
      </c>
    </row>
    <row r="25" spans="1:11" x14ac:dyDescent="0.35">
      <c r="A25">
        <v>524614</v>
      </c>
      <c r="B25">
        <v>1452939</v>
      </c>
      <c r="C25" t="str">
        <f>"BRAZOS SCHOOL FOR INQUIRY AND CREATIVITY"</f>
        <v>BRAZOS SCHOOL FOR INQUIRY AND CREATIVITY</v>
      </c>
      <c r="D25" t="s">
        <v>11</v>
      </c>
      <c r="E25" t="s">
        <v>43</v>
      </c>
      <c r="F25" t="s">
        <v>44</v>
      </c>
      <c r="G25">
        <v>77840</v>
      </c>
      <c r="H25">
        <v>2006</v>
      </c>
      <c r="I25" s="1">
        <v>14580</v>
      </c>
      <c r="J25" s="1">
        <v>16200</v>
      </c>
      <c r="K25" s="1">
        <v>13023.71</v>
      </c>
    </row>
    <row r="26" spans="1:11" x14ac:dyDescent="0.35">
      <c r="A26">
        <v>506436</v>
      </c>
      <c r="B26">
        <v>1392221</v>
      </c>
      <c r="C26" t="str">
        <f>"BRAZOS SCHOOL FOR INQUIRY AND CREATIVITY"</f>
        <v>BRAZOS SCHOOL FOR INQUIRY AND CREATIVITY</v>
      </c>
      <c r="D26" t="s">
        <v>11</v>
      </c>
      <c r="E26" t="s">
        <v>43</v>
      </c>
      <c r="F26" t="s">
        <v>44</v>
      </c>
      <c r="G26">
        <v>77840</v>
      </c>
      <c r="H26">
        <v>2006</v>
      </c>
      <c r="I26" s="1">
        <v>1994.98</v>
      </c>
      <c r="J26" s="1">
        <v>2216.64</v>
      </c>
      <c r="K26" s="1">
        <v>1942.64</v>
      </c>
    </row>
    <row r="27" spans="1:11" x14ac:dyDescent="0.35">
      <c r="A27">
        <v>505286</v>
      </c>
      <c r="B27">
        <v>1388487</v>
      </c>
      <c r="C27" t="str">
        <f>"BRIGHT IDEAS SCHOOL"</f>
        <v>BRIGHT IDEAS SCHOOL</v>
      </c>
      <c r="D27" t="s">
        <v>11</v>
      </c>
      <c r="E27" t="s">
        <v>45</v>
      </c>
      <c r="F27" t="s">
        <v>46</v>
      </c>
      <c r="G27">
        <v>76302</v>
      </c>
      <c r="H27">
        <v>2006</v>
      </c>
      <c r="I27" s="1">
        <v>2400</v>
      </c>
      <c r="J27" s="1">
        <v>3000</v>
      </c>
      <c r="K27" s="1">
        <v>2400</v>
      </c>
    </row>
    <row r="28" spans="1:11" x14ac:dyDescent="0.35">
      <c r="A28">
        <v>526091</v>
      </c>
      <c r="B28">
        <v>1449352</v>
      </c>
      <c r="C28" t="str">
        <f>"BROOKHAVEN YOUTH RANCH"</f>
        <v>BROOKHAVEN YOUTH RANCH</v>
      </c>
      <c r="D28" t="s">
        <v>11</v>
      </c>
      <c r="E28" t="s">
        <v>47</v>
      </c>
      <c r="F28" t="s">
        <v>48</v>
      </c>
      <c r="G28">
        <v>76691</v>
      </c>
      <c r="H28">
        <v>2006</v>
      </c>
      <c r="I28" s="1">
        <v>4482</v>
      </c>
      <c r="J28" s="1">
        <v>4980</v>
      </c>
      <c r="K28" s="1">
        <v>4482</v>
      </c>
    </row>
    <row r="29" spans="1:11" x14ac:dyDescent="0.35">
      <c r="A29">
        <v>522811</v>
      </c>
      <c r="B29">
        <v>1440599</v>
      </c>
      <c r="C29" t="str">
        <f>"BUCKHOLTS INDEP SCHOOL DIST"</f>
        <v>BUCKHOLTS INDEP SCHOOL DIST</v>
      </c>
      <c r="D29" t="s">
        <v>11</v>
      </c>
      <c r="E29" t="s">
        <v>49</v>
      </c>
      <c r="F29" t="s">
        <v>50</v>
      </c>
      <c r="G29">
        <v>76518</v>
      </c>
      <c r="H29">
        <v>2006</v>
      </c>
      <c r="I29" s="1">
        <v>12600</v>
      </c>
      <c r="J29" s="1">
        <v>15750</v>
      </c>
      <c r="K29" s="1">
        <v>12600</v>
      </c>
    </row>
    <row r="30" spans="1:11" x14ac:dyDescent="0.35">
      <c r="A30">
        <v>497399</v>
      </c>
      <c r="B30">
        <v>1369667</v>
      </c>
      <c r="C30" t="str">
        <f>"CASA EL PASO WEST CAMPUS"</f>
        <v>CASA EL PASO WEST CAMPUS</v>
      </c>
      <c r="D30" t="s">
        <v>11</v>
      </c>
      <c r="E30" t="s">
        <v>51</v>
      </c>
      <c r="F30" t="s">
        <v>52</v>
      </c>
      <c r="G30">
        <v>79835</v>
      </c>
      <c r="H30">
        <v>2006</v>
      </c>
      <c r="I30" s="1">
        <v>0</v>
      </c>
      <c r="J30" s="1">
        <v>0</v>
      </c>
    </row>
    <row r="31" spans="1:11" x14ac:dyDescent="0.35">
      <c r="A31">
        <v>509408</v>
      </c>
      <c r="B31">
        <v>1400246</v>
      </c>
      <c r="C31" t="str">
        <f>"CASA ESPERANZA"</f>
        <v>CASA ESPERANZA</v>
      </c>
      <c r="D31" t="s">
        <v>11</v>
      </c>
      <c r="E31" t="s">
        <v>53</v>
      </c>
      <c r="F31" t="s">
        <v>18</v>
      </c>
      <c r="G31">
        <v>77028</v>
      </c>
      <c r="H31">
        <v>2006</v>
      </c>
      <c r="I31" s="1">
        <v>0</v>
      </c>
      <c r="J31" s="1">
        <v>0</v>
      </c>
    </row>
    <row r="32" spans="1:11" x14ac:dyDescent="0.35">
      <c r="A32">
        <v>537613</v>
      </c>
      <c r="B32">
        <v>1488618</v>
      </c>
      <c r="C32" t="str">
        <f>"CASTLE HILLS FIRST BAPT SCHOOL"</f>
        <v>CASTLE HILLS FIRST BAPT SCHOOL</v>
      </c>
      <c r="D32" t="s">
        <v>11</v>
      </c>
      <c r="E32" t="s">
        <v>54</v>
      </c>
      <c r="F32" t="s">
        <v>28</v>
      </c>
      <c r="G32">
        <v>78213</v>
      </c>
      <c r="H32">
        <v>2006</v>
      </c>
      <c r="I32" s="1">
        <v>1511.95</v>
      </c>
      <c r="J32" s="1">
        <v>3779.88</v>
      </c>
      <c r="K32" s="1">
        <v>1511.95</v>
      </c>
    </row>
    <row r="33" spans="1:11" x14ac:dyDescent="0.35">
      <c r="A33">
        <v>523542</v>
      </c>
      <c r="B33">
        <v>1441461</v>
      </c>
      <c r="C33" t="str">
        <f>"CENTRAL CATHOLIC HIGH SCHOOL"</f>
        <v>CENTRAL CATHOLIC HIGH SCHOOL</v>
      </c>
      <c r="D33" t="s">
        <v>11</v>
      </c>
      <c r="E33" t="s">
        <v>55</v>
      </c>
      <c r="F33" t="s">
        <v>28</v>
      </c>
      <c r="G33">
        <v>78215</v>
      </c>
      <c r="H33">
        <v>2006</v>
      </c>
      <c r="I33" s="1">
        <v>2943.36</v>
      </c>
      <c r="J33" s="1">
        <v>7358.4</v>
      </c>
      <c r="K33" s="1">
        <v>2943.36</v>
      </c>
    </row>
    <row r="34" spans="1:11" x14ac:dyDescent="0.35">
      <c r="A34">
        <v>500395</v>
      </c>
      <c r="B34">
        <v>1376782</v>
      </c>
      <c r="C34" t="str">
        <f>"CHILDREN FIRST ELEMENTARY ACADEMY OF DALLAS"</f>
        <v>CHILDREN FIRST ELEMENTARY ACADEMY OF DALLAS</v>
      </c>
      <c r="D34" t="s">
        <v>11</v>
      </c>
      <c r="E34" t="s">
        <v>56</v>
      </c>
      <c r="F34" t="s">
        <v>13</v>
      </c>
      <c r="G34">
        <v>75216</v>
      </c>
      <c r="H34">
        <v>2006</v>
      </c>
      <c r="I34" s="1">
        <v>5940</v>
      </c>
      <c r="J34" s="1">
        <v>6600</v>
      </c>
    </row>
    <row r="35" spans="1:11" x14ac:dyDescent="0.35">
      <c r="A35">
        <v>500395</v>
      </c>
      <c r="B35">
        <v>1376720</v>
      </c>
      <c r="C35" t="str">
        <f>"CHILDREN FIRST ELEMENTARY ACADEMY OF DALLAS"</f>
        <v>CHILDREN FIRST ELEMENTARY ACADEMY OF DALLAS</v>
      </c>
      <c r="D35" t="s">
        <v>11</v>
      </c>
      <c r="E35" t="s">
        <v>56</v>
      </c>
      <c r="F35" t="s">
        <v>13</v>
      </c>
      <c r="G35">
        <v>75216</v>
      </c>
      <c r="H35">
        <v>2006</v>
      </c>
      <c r="I35" s="1">
        <v>1978.45</v>
      </c>
      <c r="J35" s="1">
        <v>2198.2800000000002</v>
      </c>
    </row>
    <row r="36" spans="1:11" x14ac:dyDescent="0.35">
      <c r="A36">
        <v>500479</v>
      </c>
      <c r="B36">
        <v>1376889</v>
      </c>
      <c r="C36" t="str">
        <f>"CHILDREN FIRST ELEMENTARY ACADEMY OF HOUSTON"</f>
        <v>CHILDREN FIRST ELEMENTARY ACADEMY OF HOUSTON</v>
      </c>
      <c r="D36" t="s">
        <v>11</v>
      </c>
      <c r="E36" t="s">
        <v>57</v>
      </c>
      <c r="F36" t="s">
        <v>18</v>
      </c>
      <c r="G36">
        <v>77016</v>
      </c>
      <c r="H36">
        <v>2006</v>
      </c>
      <c r="I36" s="1">
        <v>5940</v>
      </c>
      <c r="J36" s="1">
        <v>6600</v>
      </c>
    </row>
    <row r="37" spans="1:11" x14ac:dyDescent="0.35">
      <c r="A37">
        <v>500479</v>
      </c>
      <c r="B37">
        <v>1376879</v>
      </c>
      <c r="C37" t="str">
        <f>"CHILDREN FIRST ELEMENTARY ACADEMY OF HOUSTON"</f>
        <v>CHILDREN FIRST ELEMENTARY ACADEMY OF HOUSTON</v>
      </c>
      <c r="D37" t="s">
        <v>11</v>
      </c>
      <c r="E37" t="s">
        <v>57</v>
      </c>
      <c r="F37" t="s">
        <v>18</v>
      </c>
      <c r="G37">
        <v>77016</v>
      </c>
      <c r="H37">
        <v>2006</v>
      </c>
      <c r="I37" s="1">
        <v>1978.45</v>
      </c>
      <c r="J37" s="1">
        <v>2198.2800000000002</v>
      </c>
    </row>
    <row r="38" spans="1:11" x14ac:dyDescent="0.35">
      <c r="A38">
        <v>527612</v>
      </c>
      <c r="B38">
        <v>1454845</v>
      </c>
      <c r="C38" t="str">
        <f>"CHOICES ALTERNATIVE SCHOOL"</f>
        <v>CHOICES ALTERNATIVE SCHOOL</v>
      </c>
      <c r="D38" t="s">
        <v>11</v>
      </c>
      <c r="E38" t="s">
        <v>58</v>
      </c>
      <c r="F38" t="s">
        <v>59</v>
      </c>
      <c r="G38">
        <v>79358</v>
      </c>
      <c r="H38">
        <v>2006</v>
      </c>
      <c r="I38" s="1">
        <v>395.93</v>
      </c>
      <c r="J38" s="1">
        <v>439.92</v>
      </c>
    </row>
    <row r="39" spans="1:11" x14ac:dyDescent="0.35">
      <c r="A39">
        <v>528715</v>
      </c>
      <c r="B39">
        <v>1458796</v>
      </c>
      <c r="C39" t="str">
        <f>"CHRIST THE KING SCHOOL"</f>
        <v>CHRIST THE KING SCHOOL</v>
      </c>
      <c r="D39" t="s">
        <v>11</v>
      </c>
      <c r="E39" t="s">
        <v>60</v>
      </c>
      <c r="F39" t="s">
        <v>13</v>
      </c>
      <c r="G39">
        <v>75225</v>
      </c>
      <c r="H39">
        <v>2006</v>
      </c>
      <c r="I39" s="1">
        <v>2928</v>
      </c>
      <c r="J39" s="1">
        <v>7320</v>
      </c>
      <c r="K39" s="1">
        <v>2928</v>
      </c>
    </row>
    <row r="40" spans="1:11" x14ac:dyDescent="0.35">
      <c r="A40">
        <v>532750</v>
      </c>
      <c r="B40">
        <v>1472047</v>
      </c>
      <c r="C40" t="str">
        <f>"CORPUS CHRISTI SCHOOL"</f>
        <v>CORPUS CHRISTI SCHOOL</v>
      </c>
      <c r="D40" t="s">
        <v>11</v>
      </c>
      <c r="E40" t="s">
        <v>61</v>
      </c>
      <c r="F40" t="s">
        <v>18</v>
      </c>
      <c r="G40">
        <v>77025</v>
      </c>
      <c r="H40">
        <v>2006</v>
      </c>
      <c r="I40" s="1">
        <v>507.94</v>
      </c>
      <c r="J40" s="1">
        <v>1269.8399999999999</v>
      </c>
      <c r="K40" s="1">
        <v>417.74</v>
      </c>
    </row>
    <row r="41" spans="1:11" x14ac:dyDescent="0.35">
      <c r="A41">
        <v>535632</v>
      </c>
      <c r="B41">
        <v>1482145</v>
      </c>
      <c r="C41" t="str">
        <f>"CORSICANA TWO DIMENSIONS PREP ACADEMY"</f>
        <v>CORSICANA TWO DIMENSIONS PREP ACADEMY</v>
      </c>
      <c r="D41" t="s">
        <v>11</v>
      </c>
      <c r="E41" t="s">
        <v>62</v>
      </c>
      <c r="F41" t="s">
        <v>63</v>
      </c>
      <c r="G41">
        <v>75110</v>
      </c>
      <c r="H41">
        <v>2006</v>
      </c>
      <c r="I41" s="1">
        <v>0</v>
      </c>
      <c r="J41" s="1">
        <v>0</v>
      </c>
    </row>
    <row r="42" spans="1:11" x14ac:dyDescent="0.35">
      <c r="A42">
        <v>530978</v>
      </c>
      <c r="B42">
        <v>1479827</v>
      </c>
      <c r="C42" t="str">
        <f>"CUMBERLAND ACADEMY"</f>
        <v>CUMBERLAND ACADEMY</v>
      </c>
      <c r="D42" t="s">
        <v>11</v>
      </c>
      <c r="E42" t="s">
        <v>64</v>
      </c>
      <c r="F42" t="s">
        <v>65</v>
      </c>
      <c r="G42">
        <v>75703</v>
      </c>
      <c r="H42">
        <v>2006</v>
      </c>
      <c r="I42" s="1">
        <v>2447.52</v>
      </c>
      <c r="J42" s="1">
        <v>3059.4</v>
      </c>
      <c r="K42" s="1">
        <v>2447.52</v>
      </c>
    </row>
    <row r="43" spans="1:11" x14ac:dyDescent="0.35">
      <c r="A43">
        <v>535888</v>
      </c>
      <c r="B43">
        <v>1487330</v>
      </c>
      <c r="C43" t="str">
        <f>"CUMBERLAND ACADEMY"</f>
        <v>CUMBERLAND ACADEMY</v>
      </c>
      <c r="D43" t="s">
        <v>11</v>
      </c>
      <c r="E43" t="s">
        <v>64</v>
      </c>
      <c r="F43" t="s">
        <v>65</v>
      </c>
      <c r="G43">
        <v>75703</v>
      </c>
      <c r="H43">
        <v>2006</v>
      </c>
      <c r="I43" s="1">
        <v>816</v>
      </c>
      <c r="J43" s="1">
        <v>1020</v>
      </c>
      <c r="K43" s="1">
        <v>816</v>
      </c>
    </row>
    <row r="44" spans="1:11" x14ac:dyDescent="0.35">
      <c r="A44">
        <v>502631</v>
      </c>
      <c r="B44">
        <v>1382215</v>
      </c>
      <c r="C44" t="str">
        <f>"DOMINION CHARTER SCHOOL"</f>
        <v>DOMINION CHARTER SCHOOL</v>
      </c>
      <c r="D44" t="s">
        <v>11</v>
      </c>
      <c r="E44" t="s">
        <v>66</v>
      </c>
      <c r="F44" t="s">
        <v>18</v>
      </c>
      <c r="G44">
        <v>77018</v>
      </c>
      <c r="H44">
        <v>2006</v>
      </c>
      <c r="I44" s="1">
        <v>2808</v>
      </c>
      <c r="J44" s="1">
        <v>3120</v>
      </c>
      <c r="K44" s="1">
        <v>2015.68</v>
      </c>
    </row>
    <row r="45" spans="1:11" x14ac:dyDescent="0.35">
      <c r="A45">
        <v>502071</v>
      </c>
      <c r="B45">
        <v>1380565</v>
      </c>
      <c r="C45" t="str">
        <f>"DOMINION PREPARATORY"</f>
        <v>DOMINION PREPARATORY</v>
      </c>
      <c r="D45" t="s">
        <v>11</v>
      </c>
      <c r="E45" t="s">
        <v>67</v>
      </c>
      <c r="F45" t="s">
        <v>18</v>
      </c>
      <c r="G45">
        <v>77018</v>
      </c>
      <c r="H45">
        <v>2006</v>
      </c>
      <c r="I45" s="1">
        <v>5346</v>
      </c>
      <c r="J45" s="1">
        <v>5940</v>
      </c>
    </row>
    <row r="46" spans="1:11" x14ac:dyDescent="0.35">
      <c r="A46">
        <v>536750</v>
      </c>
      <c r="B46">
        <v>1485961</v>
      </c>
      <c r="C46" t="str">
        <f>"DR. HARMON W KELLEY ELEMENTARY"</f>
        <v>DR. HARMON W KELLEY ELEMENTARY</v>
      </c>
      <c r="D46" t="s">
        <v>11</v>
      </c>
      <c r="E46" t="s">
        <v>68</v>
      </c>
      <c r="F46" t="s">
        <v>28</v>
      </c>
      <c r="G46">
        <v>78216</v>
      </c>
      <c r="H46">
        <v>2006</v>
      </c>
      <c r="I46" s="1">
        <v>0</v>
      </c>
      <c r="J46" s="1">
        <v>0</v>
      </c>
    </row>
    <row r="47" spans="1:11" x14ac:dyDescent="0.35">
      <c r="A47">
        <v>529548</v>
      </c>
      <c r="B47">
        <v>1468311</v>
      </c>
      <c r="C47" t="str">
        <f>"EAGLE ACADEMY OF ABILENE"</f>
        <v>EAGLE ACADEMY OF ABILENE</v>
      </c>
      <c r="D47" t="s">
        <v>11</v>
      </c>
      <c r="E47" t="s">
        <v>69</v>
      </c>
      <c r="F47" t="s">
        <v>70</v>
      </c>
      <c r="G47">
        <v>79605</v>
      </c>
      <c r="H47">
        <v>2006</v>
      </c>
      <c r="I47" s="1">
        <v>6598.8</v>
      </c>
      <c r="J47" s="1">
        <v>7332</v>
      </c>
      <c r="K47" s="1">
        <v>6598.8</v>
      </c>
    </row>
    <row r="48" spans="1:11" x14ac:dyDescent="0.35">
      <c r="A48">
        <v>532173</v>
      </c>
      <c r="B48">
        <v>1470069</v>
      </c>
      <c r="C48" t="str">
        <f>"EAGLE ACADEMY OF BEAUMONT"</f>
        <v>EAGLE ACADEMY OF BEAUMONT</v>
      </c>
      <c r="D48" t="s">
        <v>11</v>
      </c>
      <c r="E48" t="s">
        <v>71</v>
      </c>
      <c r="F48" t="s">
        <v>72</v>
      </c>
      <c r="G48">
        <v>75067</v>
      </c>
      <c r="H48">
        <v>2006</v>
      </c>
      <c r="I48" s="1">
        <v>5606.4</v>
      </c>
      <c r="J48" s="1">
        <v>7008</v>
      </c>
      <c r="K48" s="1">
        <v>5606.4</v>
      </c>
    </row>
    <row r="49" spans="1:11" x14ac:dyDescent="0.35">
      <c r="A49">
        <v>532322</v>
      </c>
      <c r="B49">
        <v>1470418</v>
      </c>
      <c r="C49" t="str">
        <f>"EAGLE ACADEMY OF DEL RIO"</f>
        <v>EAGLE ACADEMY OF DEL RIO</v>
      </c>
      <c r="D49" t="s">
        <v>11</v>
      </c>
      <c r="E49" t="s">
        <v>73</v>
      </c>
      <c r="F49" t="s">
        <v>74</v>
      </c>
      <c r="G49">
        <v>78840</v>
      </c>
      <c r="H49">
        <v>2006</v>
      </c>
      <c r="I49" s="1">
        <v>8688</v>
      </c>
      <c r="J49" s="1">
        <v>10860</v>
      </c>
      <c r="K49" s="1">
        <v>8688</v>
      </c>
    </row>
    <row r="50" spans="1:11" x14ac:dyDescent="0.35">
      <c r="A50">
        <v>532573</v>
      </c>
      <c r="B50">
        <v>1471465</v>
      </c>
      <c r="C50" t="str">
        <f>"EAGLE ACADEMY OF LAREDO"</f>
        <v>EAGLE ACADEMY OF LAREDO</v>
      </c>
      <c r="D50" t="s">
        <v>11</v>
      </c>
      <c r="E50" t="s">
        <v>75</v>
      </c>
      <c r="F50" t="s">
        <v>76</v>
      </c>
      <c r="G50">
        <v>78041</v>
      </c>
      <c r="H50">
        <v>2006</v>
      </c>
      <c r="I50" s="1">
        <v>9795.6</v>
      </c>
      <c r="J50" s="1">
        <v>10884</v>
      </c>
      <c r="K50" s="1">
        <v>9795.6</v>
      </c>
    </row>
    <row r="51" spans="1:11" x14ac:dyDescent="0.35">
      <c r="A51">
        <v>536318</v>
      </c>
      <c r="B51">
        <v>1489566</v>
      </c>
      <c r="C51" t="str">
        <f>"EAGLE ADVANTAGE SCHOOLS, INC."</f>
        <v>EAGLE ADVANTAGE SCHOOLS, INC.</v>
      </c>
      <c r="D51" t="s">
        <v>11</v>
      </c>
      <c r="E51" t="s">
        <v>77</v>
      </c>
      <c r="F51" t="s">
        <v>13</v>
      </c>
      <c r="G51">
        <v>75236</v>
      </c>
      <c r="H51">
        <v>2006</v>
      </c>
      <c r="I51" s="1">
        <v>37184.400000000001</v>
      </c>
      <c r="J51" s="1">
        <v>41316</v>
      </c>
      <c r="K51" s="1">
        <v>33028.239999999998</v>
      </c>
    </row>
    <row r="52" spans="1:11" x14ac:dyDescent="0.35">
      <c r="A52">
        <v>500214</v>
      </c>
      <c r="B52">
        <v>1376826</v>
      </c>
      <c r="C52" t="str">
        <f>"EAST DALLAS COMMUNITY SCHOOL"</f>
        <v>EAST DALLAS COMMUNITY SCHOOL</v>
      </c>
      <c r="D52" t="s">
        <v>11</v>
      </c>
      <c r="E52" t="s">
        <v>78</v>
      </c>
      <c r="F52" t="s">
        <v>13</v>
      </c>
      <c r="G52">
        <v>75223</v>
      </c>
      <c r="H52">
        <v>2006</v>
      </c>
      <c r="I52" s="1">
        <v>1008</v>
      </c>
      <c r="J52" s="1">
        <v>1260</v>
      </c>
    </row>
    <row r="53" spans="1:11" x14ac:dyDescent="0.35">
      <c r="A53">
        <v>505822</v>
      </c>
      <c r="B53">
        <v>1391770</v>
      </c>
      <c r="C53" t="str">
        <f>"EDEN PARK ACADEMY"</f>
        <v>EDEN PARK ACADEMY</v>
      </c>
      <c r="D53" t="s">
        <v>11</v>
      </c>
      <c r="E53" t="s">
        <v>79</v>
      </c>
      <c r="F53" t="s">
        <v>80</v>
      </c>
      <c r="G53">
        <v>78745</v>
      </c>
      <c r="H53">
        <v>2006</v>
      </c>
      <c r="I53" s="1">
        <v>6516</v>
      </c>
      <c r="J53" s="1">
        <v>10860</v>
      </c>
      <c r="K53" s="1">
        <v>6516</v>
      </c>
    </row>
    <row r="54" spans="1:11" x14ac:dyDescent="0.35">
      <c r="A54">
        <v>527482</v>
      </c>
      <c r="B54">
        <v>1474021</v>
      </c>
      <c r="C54" t="str">
        <f>"EHRHART SCHOOL"</f>
        <v>EHRHART SCHOOL</v>
      </c>
      <c r="D54" t="s">
        <v>11</v>
      </c>
      <c r="E54" t="s">
        <v>81</v>
      </c>
      <c r="F54" t="s">
        <v>72</v>
      </c>
      <c r="G54">
        <v>77701</v>
      </c>
      <c r="H54">
        <v>2006</v>
      </c>
      <c r="I54" s="1">
        <v>701.46</v>
      </c>
      <c r="J54" s="1">
        <v>779.4</v>
      </c>
      <c r="K54" s="1">
        <v>701.46</v>
      </c>
    </row>
    <row r="55" spans="1:11" x14ac:dyDescent="0.35">
      <c r="A55">
        <v>501910</v>
      </c>
      <c r="B55">
        <v>1380284</v>
      </c>
      <c r="C55" t="str">
        <f>"ERA ELEMENTARY &amp; HIGH SCHOOL"</f>
        <v>ERA ELEMENTARY &amp; HIGH SCHOOL</v>
      </c>
      <c r="D55" t="s">
        <v>11</v>
      </c>
      <c r="E55" t="s">
        <v>82</v>
      </c>
      <c r="F55" t="s">
        <v>83</v>
      </c>
      <c r="G55">
        <v>76238</v>
      </c>
      <c r="H55">
        <v>2006</v>
      </c>
      <c r="I55" s="1">
        <v>936</v>
      </c>
      <c r="J55" s="1">
        <v>1560</v>
      </c>
      <c r="K55" s="1">
        <v>936</v>
      </c>
    </row>
    <row r="56" spans="1:11" x14ac:dyDescent="0.35">
      <c r="A56">
        <v>501910</v>
      </c>
      <c r="B56">
        <v>1380201</v>
      </c>
      <c r="C56" t="str">
        <f>"ERA ELEMENTARY &amp; HIGH SCHOOL"</f>
        <v>ERA ELEMENTARY &amp; HIGH SCHOOL</v>
      </c>
      <c r="D56" t="s">
        <v>11</v>
      </c>
      <c r="E56" t="s">
        <v>82</v>
      </c>
      <c r="F56" t="s">
        <v>83</v>
      </c>
      <c r="G56">
        <v>76238</v>
      </c>
      <c r="H56">
        <v>2006</v>
      </c>
      <c r="I56" s="1">
        <v>2160</v>
      </c>
      <c r="J56" s="1">
        <v>3600</v>
      </c>
      <c r="K56" s="1">
        <v>2160</v>
      </c>
    </row>
    <row r="57" spans="1:11" x14ac:dyDescent="0.35">
      <c r="A57">
        <v>510559</v>
      </c>
      <c r="B57">
        <v>1404104</v>
      </c>
      <c r="C57" t="str">
        <f>"ERATH EXCELS  ACADEMY"</f>
        <v>ERATH EXCELS  ACADEMY</v>
      </c>
      <c r="D57" t="s">
        <v>11</v>
      </c>
      <c r="E57" t="s">
        <v>84</v>
      </c>
      <c r="F57" t="s">
        <v>85</v>
      </c>
      <c r="G57">
        <v>76401</v>
      </c>
      <c r="H57">
        <v>2006</v>
      </c>
      <c r="I57" s="1">
        <v>0</v>
      </c>
      <c r="J57" s="1">
        <v>0</v>
      </c>
    </row>
    <row r="58" spans="1:11" x14ac:dyDescent="0.35">
      <c r="A58">
        <v>510559</v>
      </c>
      <c r="B58">
        <v>1403944</v>
      </c>
      <c r="C58" t="str">
        <f>"ERATH EXCELS  ACADEMY"</f>
        <v>ERATH EXCELS  ACADEMY</v>
      </c>
      <c r="D58" t="s">
        <v>11</v>
      </c>
      <c r="E58" t="s">
        <v>84</v>
      </c>
      <c r="F58" t="s">
        <v>85</v>
      </c>
      <c r="G58">
        <v>76401</v>
      </c>
      <c r="H58">
        <v>2006</v>
      </c>
      <c r="I58" s="1">
        <v>2880</v>
      </c>
      <c r="J58" s="1">
        <v>3600</v>
      </c>
      <c r="K58" s="1">
        <v>2880</v>
      </c>
    </row>
    <row r="59" spans="1:11" x14ac:dyDescent="0.35">
      <c r="A59">
        <v>510559</v>
      </c>
      <c r="B59">
        <v>1403959</v>
      </c>
      <c r="C59" t="str">
        <f>"ERATH EXCELS  ACADEMY"</f>
        <v>ERATH EXCELS  ACADEMY</v>
      </c>
      <c r="D59" t="s">
        <v>11</v>
      </c>
      <c r="E59" t="s">
        <v>84</v>
      </c>
      <c r="F59" t="s">
        <v>85</v>
      </c>
      <c r="G59">
        <v>76401</v>
      </c>
      <c r="H59">
        <v>2006</v>
      </c>
      <c r="I59" s="1">
        <v>960</v>
      </c>
      <c r="J59" s="1">
        <v>1200</v>
      </c>
    </row>
    <row r="60" spans="1:11" x14ac:dyDescent="0.35">
      <c r="A60">
        <v>510559</v>
      </c>
      <c r="B60">
        <v>1403989</v>
      </c>
      <c r="C60" t="str">
        <f>"ERATH EXCELS  ACADEMY"</f>
        <v>ERATH EXCELS  ACADEMY</v>
      </c>
      <c r="D60" t="s">
        <v>11</v>
      </c>
      <c r="E60" t="s">
        <v>84</v>
      </c>
      <c r="F60" t="s">
        <v>85</v>
      </c>
      <c r="G60">
        <v>76401</v>
      </c>
      <c r="H60">
        <v>2006</v>
      </c>
      <c r="I60" s="1">
        <v>0</v>
      </c>
      <c r="J60" s="1">
        <v>0</v>
      </c>
    </row>
    <row r="61" spans="1:11" x14ac:dyDescent="0.35">
      <c r="A61">
        <v>497900</v>
      </c>
      <c r="B61">
        <v>1370935</v>
      </c>
      <c r="C61" t="str">
        <f>"ESPERANZA SCHOOL"</f>
        <v>ESPERANZA SCHOOL</v>
      </c>
      <c r="D61" t="s">
        <v>11</v>
      </c>
      <c r="E61" t="s">
        <v>86</v>
      </c>
      <c r="F61" t="s">
        <v>87</v>
      </c>
      <c r="G61">
        <v>78520</v>
      </c>
      <c r="H61">
        <v>2006</v>
      </c>
      <c r="I61" s="1">
        <v>0</v>
      </c>
      <c r="J61" s="1">
        <v>0</v>
      </c>
    </row>
    <row r="62" spans="1:11" x14ac:dyDescent="0.35">
      <c r="A62">
        <v>527978</v>
      </c>
      <c r="B62">
        <v>1456176</v>
      </c>
      <c r="C62" t="str">
        <f>"EZZELL ELEMENTARY SCHOOL"</f>
        <v>EZZELL ELEMENTARY SCHOOL</v>
      </c>
      <c r="D62" t="s">
        <v>11</v>
      </c>
      <c r="E62" t="s">
        <v>88</v>
      </c>
      <c r="F62" t="s">
        <v>89</v>
      </c>
      <c r="G62">
        <v>77964</v>
      </c>
      <c r="H62">
        <v>2006</v>
      </c>
      <c r="I62" s="1">
        <v>5760</v>
      </c>
      <c r="J62" s="1">
        <v>9600</v>
      </c>
      <c r="K62" s="1">
        <v>5760</v>
      </c>
    </row>
    <row r="63" spans="1:11" x14ac:dyDescent="0.35">
      <c r="A63">
        <v>530970</v>
      </c>
      <c r="B63">
        <v>1465837</v>
      </c>
      <c r="C63" t="str">
        <f>"FATHER YERMO ELEMENTARY SCHOOL"</f>
        <v>FATHER YERMO ELEMENTARY SCHOOL</v>
      </c>
      <c r="D63" t="s">
        <v>11</v>
      </c>
      <c r="E63" t="s">
        <v>90</v>
      </c>
      <c r="F63" t="s">
        <v>38</v>
      </c>
      <c r="G63">
        <v>79905</v>
      </c>
      <c r="H63">
        <v>2006</v>
      </c>
      <c r="I63" s="1">
        <v>1187.78</v>
      </c>
      <c r="J63" s="1">
        <v>1319.76</v>
      </c>
    </row>
    <row r="64" spans="1:11" x14ac:dyDescent="0.35">
      <c r="A64">
        <v>531267</v>
      </c>
      <c r="B64">
        <v>1466842</v>
      </c>
      <c r="C64" t="str">
        <f>"FATHER YERMO HIGH SCHOOL"</f>
        <v>FATHER YERMO HIGH SCHOOL</v>
      </c>
      <c r="D64" t="s">
        <v>11</v>
      </c>
      <c r="E64" t="s">
        <v>91</v>
      </c>
      <c r="F64" t="s">
        <v>38</v>
      </c>
      <c r="G64">
        <v>79905</v>
      </c>
      <c r="H64">
        <v>2006</v>
      </c>
      <c r="I64" s="1">
        <v>1187.78</v>
      </c>
      <c r="J64" s="1">
        <v>1319.76</v>
      </c>
      <c r="K64" s="1">
        <v>412.16</v>
      </c>
    </row>
    <row r="65" spans="1:11" x14ac:dyDescent="0.35">
      <c r="A65">
        <v>503331</v>
      </c>
      <c r="B65">
        <v>1383316</v>
      </c>
      <c r="C65" t="str">
        <f>"FRUIT OF EXCELLENCE"</f>
        <v>FRUIT OF EXCELLENCE</v>
      </c>
      <c r="D65" t="s">
        <v>11</v>
      </c>
      <c r="E65" t="s">
        <v>92</v>
      </c>
      <c r="F65" t="s">
        <v>18</v>
      </c>
      <c r="G65">
        <v>77004</v>
      </c>
      <c r="H65">
        <v>2006</v>
      </c>
      <c r="I65" s="1">
        <v>2160</v>
      </c>
      <c r="J65" s="1">
        <v>2400</v>
      </c>
    </row>
    <row r="66" spans="1:11" x14ac:dyDescent="0.35">
      <c r="A66">
        <v>503413</v>
      </c>
      <c r="B66">
        <v>1383461</v>
      </c>
      <c r="C66" t="str">
        <f>"FRUIT OF EXCELLENCE"</f>
        <v>FRUIT OF EXCELLENCE</v>
      </c>
      <c r="D66" t="s">
        <v>11</v>
      </c>
      <c r="E66" t="s">
        <v>93</v>
      </c>
      <c r="F66" t="s">
        <v>94</v>
      </c>
      <c r="G66">
        <v>78621</v>
      </c>
      <c r="H66">
        <v>2006</v>
      </c>
      <c r="I66" s="1">
        <v>2700</v>
      </c>
      <c r="J66" s="1">
        <v>3000</v>
      </c>
    </row>
    <row r="67" spans="1:11" x14ac:dyDescent="0.35">
      <c r="A67">
        <v>532788</v>
      </c>
      <c r="B67">
        <v>1472232</v>
      </c>
      <c r="C67" t="str">
        <f>"GALVESTON CATHOLIC SCHOOL"</f>
        <v>GALVESTON CATHOLIC SCHOOL</v>
      </c>
      <c r="D67" t="s">
        <v>11</v>
      </c>
      <c r="E67" t="s">
        <v>95</v>
      </c>
      <c r="F67" t="s">
        <v>96</v>
      </c>
      <c r="G67">
        <v>77550</v>
      </c>
      <c r="H67">
        <v>2006</v>
      </c>
      <c r="I67" s="1">
        <v>669.6</v>
      </c>
      <c r="J67" s="1">
        <v>1339.2</v>
      </c>
      <c r="K67" s="1">
        <v>669.6</v>
      </c>
    </row>
    <row r="68" spans="1:11" x14ac:dyDescent="0.35">
      <c r="A68">
        <v>532788</v>
      </c>
      <c r="B68">
        <v>1472220</v>
      </c>
      <c r="C68" t="str">
        <f>"GALVESTON CATHOLIC SCHOOL"</f>
        <v>GALVESTON CATHOLIC SCHOOL</v>
      </c>
      <c r="D68" t="s">
        <v>11</v>
      </c>
      <c r="E68" t="s">
        <v>95</v>
      </c>
      <c r="F68" t="s">
        <v>96</v>
      </c>
      <c r="G68">
        <v>77550</v>
      </c>
      <c r="H68">
        <v>2006</v>
      </c>
      <c r="I68" s="1">
        <v>319.62</v>
      </c>
      <c r="J68" s="1">
        <v>639.24</v>
      </c>
      <c r="K68" s="1">
        <v>319.62</v>
      </c>
    </row>
    <row r="69" spans="1:11" x14ac:dyDescent="0.35">
      <c r="A69">
        <v>523993</v>
      </c>
      <c r="B69">
        <v>1447731</v>
      </c>
      <c r="C69" t="str">
        <f>"GATEWAY CHARTER ACADEMY"</f>
        <v>GATEWAY CHARTER ACADEMY</v>
      </c>
      <c r="D69" t="s">
        <v>11</v>
      </c>
      <c r="E69" t="s">
        <v>97</v>
      </c>
      <c r="F69" t="s">
        <v>13</v>
      </c>
      <c r="G69">
        <v>75241</v>
      </c>
      <c r="H69">
        <v>2006</v>
      </c>
      <c r="I69" s="1">
        <v>3888</v>
      </c>
      <c r="J69" s="1">
        <v>4320</v>
      </c>
      <c r="K69" s="1">
        <v>3888</v>
      </c>
    </row>
    <row r="70" spans="1:11" x14ac:dyDescent="0.35">
      <c r="A70">
        <v>523993</v>
      </c>
      <c r="B70">
        <v>1447141</v>
      </c>
      <c r="C70" t="str">
        <f>"GATEWAY CHARTER ACADEMY"</f>
        <v>GATEWAY CHARTER ACADEMY</v>
      </c>
      <c r="D70" t="s">
        <v>11</v>
      </c>
      <c r="E70" t="s">
        <v>97</v>
      </c>
      <c r="F70" t="s">
        <v>13</v>
      </c>
      <c r="G70">
        <v>75241</v>
      </c>
      <c r="H70">
        <v>2006</v>
      </c>
      <c r="I70" s="1">
        <v>6480</v>
      </c>
      <c r="J70" s="1">
        <v>7200</v>
      </c>
      <c r="K70" s="1">
        <v>6480</v>
      </c>
    </row>
    <row r="71" spans="1:11" x14ac:dyDescent="0.35">
      <c r="A71">
        <v>520696</v>
      </c>
      <c r="B71">
        <v>1433496</v>
      </c>
      <c r="C71" t="str">
        <f>"GAUSE ISD"</f>
        <v>GAUSE ISD</v>
      </c>
      <c r="D71" t="s">
        <v>11</v>
      </c>
      <c r="E71" t="s">
        <v>98</v>
      </c>
      <c r="F71" t="s">
        <v>99</v>
      </c>
      <c r="G71">
        <v>77857</v>
      </c>
      <c r="H71">
        <v>2006</v>
      </c>
      <c r="I71" s="1">
        <v>14739.17</v>
      </c>
      <c r="J71" s="1">
        <v>18423.96</v>
      </c>
      <c r="K71" s="1">
        <v>12600</v>
      </c>
    </row>
    <row r="72" spans="1:11" x14ac:dyDescent="0.35">
      <c r="A72">
        <v>535460</v>
      </c>
      <c r="B72">
        <v>1482374</v>
      </c>
      <c r="C72" t="str">
        <f>"GEORGE GERVIN YOUTH CENTER"</f>
        <v>GEORGE GERVIN YOUTH CENTER</v>
      </c>
      <c r="D72" t="s">
        <v>11</v>
      </c>
      <c r="E72" t="s">
        <v>100</v>
      </c>
      <c r="F72" t="s">
        <v>28</v>
      </c>
      <c r="G72">
        <v>78218</v>
      </c>
      <c r="H72">
        <v>2006</v>
      </c>
      <c r="I72" s="1">
        <v>9882</v>
      </c>
      <c r="J72" s="1">
        <v>10980</v>
      </c>
      <c r="K72" s="1">
        <v>9882</v>
      </c>
    </row>
    <row r="73" spans="1:11" x14ac:dyDescent="0.35">
      <c r="A73">
        <v>527758</v>
      </c>
      <c r="B73">
        <v>1455449</v>
      </c>
      <c r="C73" t="str">
        <f>"GEORGE I SANCHEZ CHARTER HIGH SCHOOL"</f>
        <v>GEORGE I SANCHEZ CHARTER HIGH SCHOOL</v>
      </c>
      <c r="D73" t="s">
        <v>11</v>
      </c>
      <c r="E73" t="s">
        <v>101</v>
      </c>
      <c r="F73" t="s">
        <v>28</v>
      </c>
      <c r="G73">
        <v>78204</v>
      </c>
      <c r="H73">
        <v>2006</v>
      </c>
      <c r="I73" s="1">
        <v>6615</v>
      </c>
      <c r="J73" s="1">
        <v>7350</v>
      </c>
    </row>
    <row r="74" spans="1:11" x14ac:dyDescent="0.35">
      <c r="A74">
        <v>527847</v>
      </c>
      <c r="B74">
        <v>1455699</v>
      </c>
      <c r="C74" t="str">
        <f>"GEORGE I.  SANCHEZ CHARTER HIGH SCHOOL"</f>
        <v>GEORGE I.  SANCHEZ CHARTER HIGH SCHOOL</v>
      </c>
      <c r="D74" t="s">
        <v>11</v>
      </c>
      <c r="E74" t="s">
        <v>102</v>
      </c>
      <c r="F74" t="s">
        <v>18</v>
      </c>
      <c r="G74">
        <v>77023</v>
      </c>
      <c r="H74">
        <v>2006</v>
      </c>
      <c r="I74" s="1">
        <v>7290</v>
      </c>
      <c r="J74" s="1">
        <v>8100</v>
      </c>
      <c r="K74" s="1">
        <v>7290</v>
      </c>
    </row>
    <row r="75" spans="1:11" x14ac:dyDescent="0.35">
      <c r="A75">
        <v>497660</v>
      </c>
      <c r="B75">
        <v>1402591</v>
      </c>
      <c r="C75" t="str">
        <f>"GOOD SHEPHERD SCHOOL"</f>
        <v>GOOD SHEPHERD SCHOOL</v>
      </c>
      <c r="D75" t="s">
        <v>11</v>
      </c>
      <c r="E75" t="s">
        <v>103</v>
      </c>
      <c r="F75" t="s">
        <v>104</v>
      </c>
      <c r="G75">
        <v>75040</v>
      </c>
      <c r="H75">
        <v>2006</v>
      </c>
      <c r="I75" s="1">
        <v>873.6</v>
      </c>
      <c r="J75" s="1">
        <v>4368</v>
      </c>
      <c r="K75" s="1">
        <v>0</v>
      </c>
    </row>
    <row r="76" spans="1:11" x14ac:dyDescent="0.35">
      <c r="A76">
        <v>530552</v>
      </c>
      <c r="B76">
        <v>1465693</v>
      </c>
      <c r="C76" t="str">
        <f>"GUADALUPE REGIONAL MIDDLE SCHOOL"</f>
        <v>GUADALUPE REGIONAL MIDDLE SCHOOL</v>
      </c>
      <c r="D76" t="s">
        <v>11</v>
      </c>
      <c r="E76" t="s">
        <v>105</v>
      </c>
      <c r="F76" t="s">
        <v>87</v>
      </c>
      <c r="G76">
        <v>78521</v>
      </c>
      <c r="H76">
        <v>2006</v>
      </c>
      <c r="I76" s="1">
        <v>5737.5</v>
      </c>
      <c r="J76" s="1">
        <v>6375</v>
      </c>
    </row>
    <row r="77" spans="1:11" x14ac:dyDescent="0.35">
      <c r="A77">
        <v>530552</v>
      </c>
      <c r="B77">
        <v>1465320</v>
      </c>
      <c r="C77" t="str">
        <f>"GUADALUPE REGIONAL MIDDLE SCHOOL"</f>
        <v>GUADALUPE REGIONAL MIDDLE SCHOOL</v>
      </c>
      <c r="D77" t="s">
        <v>11</v>
      </c>
      <c r="E77" t="s">
        <v>105</v>
      </c>
      <c r="F77" t="s">
        <v>87</v>
      </c>
      <c r="G77">
        <v>78521</v>
      </c>
      <c r="H77">
        <v>2006</v>
      </c>
      <c r="I77" s="1">
        <v>2700</v>
      </c>
      <c r="J77" s="1">
        <v>3000</v>
      </c>
      <c r="K77" s="1">
        <v>531.95000000000005</v>
      </c>
    </row>
    <row r="78" spans="1:11" x14ac:dyDescent="0.35">
      <c r="A78">
        <v>503857</v>
      </c>
      <c r="B78">
        <v>1384466</v>
      </c>
      <c r="C78" t="str">
        <f>"GULF SHORES ACADEMY"</f>
        <v>GULF SHORES ACADEMY</v>
      </c>
      <c r="D78" t="s">
        <v>11</v>
      </c>
      <c r="E78" t="s">
        <v>106</v>
      </c>
      <c r="F78" t="s">
        <v>18</v>
      </c>
      <c r="G78">
        <v>77036</v>
      </c>
      <c r="H78">
        <v>2006</v>
      </c>
      <c r="I78" s="1">
        <v>0</v>
      </c>
      <c r="J78" s="1">
        <v>0</v>
      </c>
    </row>
    <row r="79" spans="1:11" x14ac:dyDescent="0.35">
      <c r="A79">
        <v>503898</v>
      </c>
      <c r="B79">
        <v>1384556</v>
      </c>
      <c r="C79" t="str">
        <f>"GULF SHORES ACADEMY MIDDLE SCHOOL"</f>
        <v>GULF SHORES ACADEMY MIDDLE SCHOOL</v>
      </c>
      <c r="D79" t="s">
        <v>11</v>
      </c>
      <c r="E79" t="s">
        <v>107</v>
      </c>
      <c r="F79" t="s">
        <v>18</v>
      </c>
      <c r="G79">
        <v>77074</v>
      </c>
      <c r="H79">
        <v>2006</v>
      </c>
      <c r="I79" s="1">
        <v>0</v>
      </c>
      <c r="J79" s="1">
        <v>0</v>
      </c>
    </row>
    <row r="80" spans="1:11" x14ac:dyDescent="0.35">
      <c r="A80">
        <v>504006</v>
      </c>
      <c r="B80">
        <v>1388587</v>
      </c>
      <c r="C80" t="str">
        <f>"GULF SHORES ACADEMY SPECIAL EDUCATION"</f>
        <v>GULF SHORES ACADEMY SPECIAL EDUCATION</v>
      </c>
      <c r="D80" t="s">
        <v>11</v>
      </c>
      <c r="E80" t="s">
        <v>108</v>
      </c>
      <c r="F80" t="s">
        <v>18</v>
      </c>
      <c r="G80">
        <v>77086</v>
      </c>
      <c r="H80">
        <v>2006</v>
      </c>
      <c r="I80" s="1">
        <v>0</v>
      </c>
      <c r="J80" s="1">
        <v>0</v>
      </c>
    </row>
    <row r="81" spans="1:11" x14ac:dyDescent="0.35">
      <c r="A81">
        <v>530887</v>
      </c>
      <c r="B81">
        <v>1464919</v>
      </c>
      <c r="C81" t="str">
        <f>"HIGGS, CARTER, KING  GIFTED &amp; TALENTED CHARTER ACADEMY"</f>
        <v>HIGGS, CARTER, KING  GIFTED &amp; TALENTED CHARTER ACADEMY</v>
      </c>
      <c r="D81" t="s">
        <v>11</v>
      </c>
      <c r="E81" t="s">
        <v>109</v>
      </c>
      <c r="F81" t="s">
        <v>28</v>
      </c>
      <c r="G81">
        <v>78218</v>
      </c>
      <c r="H81">
        <v>2006</v>
      </c>
      <c r="I81" s="1">
        <v>10746</v>
      </c>
      <c r="J81" s="1">
        <v>11940</v>
      </c>
      <c r="K81" s="1">
        <v>0</v>
      </c>
    </row>
    <row r="82" spans="1:11" x14ac:dyDescent="0.35">
      <c r="A82">
        <v>534722</v>
      </c>
      <c r="B82">
        <v>1478578</v>
      </c>
      <c r="C82" t="str">
        <f>"HIGGS, CARTER, KING  GIFTED &amp; TALENTED CHARTER ACADEMY"</f>
        <v>HIGGS, CARTER, KING  GIFTED &amp; TALENTED CHARTER ACADEMY</v>
      </c>
      <c r="D82" t="s">
        <v>11</v>
      </c>
      <c r="E82" t="s">
        <v>109</v>
      </c>
      <c r="F82" t="s">
        <v>28</v>
      </c>
      <c r="G82">
        <v>78218</v>
      </c>
      <c r="H82">
        <v>2006</v>
      </c>
      <c r="I82" s="1">
        <v>3206.25</v>
      </c>
      <c r="J82" s="1">
        <v>3562.5</v>
      </c>
      <c r="K82" s="1">
        <v>3206.25</v>
      </c>
    </row>
    <row r="83" spans="1:11" x14ac:dyDescent="0.35">
      <c r="A83">
        <v>501408</v>
      </c>
      <c r="B83">
        <v>1394950</v>
      </c>
      <c r="C83" t="str">
        <f>"HOLY CROSS ELEMENTARY SCHOOL"</f>
        <v>HOLY CROSS ELEMENTARY SCHOOL</v>
      </c>
      <c r="D83" t="s">
        <v>11</v>
      </c>
      <c r="E83" t="s">
        <v>110</v>
      </c>
      <c r="F83" t="s">
        <v>111</v>
      </c>
      <c r="G83">
        <v>77414</v>
      </c>
      <c r="H83">
        <v>2006</v>
      </c>
      <c r="I83" s="1">
        <v>189.72</v>
      </c>
      <c r="J83" s="1">
        <v>379.44</v>
      </c>
      <c r="K83" s="1">
        <v>181.44</v>
      </c>
    </row>
    <row r="84" spans="1:11" x14ac:dyDescent="0.35">
      <c r="A84">
        <v>520323</v>
      </c>
      <c r="B84">
        <v>1443412</v>
      </c>
      <c r="C84" t="str">
        <f>"HOLY CROSS JR-SR HIGH SCHOOL"</f>
        <v>HOLY CROSS JR-SR HIGH SCHOOL</v>
      </c>
      <c r="D84" t="s">
        <v>11</v>
      </c>
      <c r="E84" t="s">
        <v>112</v>
      </c>
      <c r="F84" t="s">
        <v>28</v>
      </c>
      <c r="G84">
        <v>78228</v>
      </c>
      <c r="H84">
        <v>2006</v>
      </c>
      <c r="I84" s="1">
        <v>2888.35</v>
      </c>
      <c r="J84" s="1">
        <v>3209.28</v>
      </c>
      <c r="K84" s="1">
        <v>2888.35</v>
      </c>
    </row>
    <row r="85" spans="1:11" x14ac:dyDescent="0.35">
      <c r="A85">
        <v>520323</v>
      </c>
      <c r="B85">
        <v>1443473</v>
      </c>
      <c r="C85" t="str">
        <f>"HOLY CROSS JR-SR HIGH SCHOOL"</f>
        <v>HOLY CROSS JR-SR HIGH SCHOOL</v>
      </c>
      <c r="D85" t="s">
        <v>11</v>
      </c>
      <c r="E85" t="s">
        <v>112</v>
      </c>
      <c r="F85" t="s">
        <v>28</v>
      </c>
      <c r="G85">
        <v>78228</v>
      </c>
      <c r="H85">
        <v>2006</v>
      </c>
      <c r="I85" s="1">
        <v>1703.16</v>
      </c>
      <c r="J85" s="1">
        <v>1892.4</v>
      </c>
      <c r="K85" s="1">
        <v>1703.16</v>
      </c>
    </row>
    <row r="86" spans="1:11" x14ac:dyDescent="0.35">
      <c r="A86">
        <v>520323</v>
      </c>
      <c r="B86">
        <v>1443394</v>
      </c>
      <c r="C86" t="str">
        <f>"HOLY CROSS JR-SR HIGH SCHOOL"</f>
        <v>HOLY CROSS JR-SR HIGH SCHOOL</v>
      </c>
      <c r="D86" t="s">
        <v>11</v>
      </c>
      <c r="E86" t="s">
        <v>112</v>
      </c>
      <c r="F86" t="s">
        <v>28</v>
      </c>
      <c r="G86">
        <v>78228</v>
      </c>
      <c r="H86">
        <v>2006</v>
      </c>
      <c r="I86" s="1">
        <v>1676.7</v>
      </c>
      <c r="J86" s="1">
        <v>1863</v>
      </c>
      <c r="K86" s="1">
        <v>1676.7</v>
      </c>
    </row>
    <row r="87" spans="1:11" x14ac:dyDescent="0.35">
      <c r="A87">
        <v>520323</v>
      </c>
      <c r="B87">
        <v>1443287</v>
      </c>
      <c r="C87" t="str">
        <f>"HOLY CROSS JR-SR HIGH SCHOOL"</f>
        <v>HOLY CROSS JR-SR HIGH SCHOOL</v>
      </c>
      <c r="D87" t="s">
        <v>11</v>
      </c>
      <c r="E87" t="s">
        <v>112</v>
      </c>
      <c r="F87" t="s">
        <v>28</v>
      </c>
      <c r="G87">
        <v>78228</v>
      </c>
      <c r="H87">
        <v>2006</v>
      </c>
      <c r="I87" s="1">
        <v>4320</v>
      </c>
      <c r="J87" s="1">
        <v>4800</v>
      </c>
      <c r="K87" s="1">
        <v>4320</v>
      </c>
    </row>
    <row r="88" spans="1:11" x14ac:dyDescent="0.35">
      <c r="A88">
        <v>520323</v>
      </c>
      <c r="B88">
        <v>1443492</v>
      </c>
      <c r="C88" t="str">
        <f>"HOLY CROSS JR-SR HIGH SCHOOL"</f>
        <v>HOLY CROSS JR-SR HIGH SCHOOL</v>
      </c>
      <c r="D88" t="s">
        <v>11</v>
      </c>
      <c r="E88" t="s">
        <v>112</v>
      </c>
      <c r="F88" t="s">
        <v>28</v>
      </c>
      <c r="G88">
        <v>78228</v>
      </c>
      <c r="H88">
        <v>2006</v>
      </c>
      <c r="I88" s="1">
        <v>0</v>
      </c>
      <c r="J88" s="1">
        <v>0</v>
      </c>
    </row>
    <row r="89" spans="1:11" x14ac:dyDescent="0.35">
      <c r="A89">
        <v>532821</v>
      </c>
      <c r="B89">
        <v>1472327</v>
      </c>
      <c r="C89" t="str">
        <f>"HOLY GHOST SCHOOL"</f>
        <v>HOLY GHOST SCHOOL</v>
      </c>
      <c r="D89" t="s">
        <v>11</v>
      </c>
      <c r="E89" t="s">
        <v>113</v>
      </c>
      <c r="F89" t="s">
        <v>18</v>
      </c>
      <c r="G89">
        <v>77081</v>
      </c>
      <c r="H89">
        <v>2006</v>
      </c>
      <c r="I89" s="1">
        <v>374.47</v>
      </c>
      <c r="J89" s="1">
        <v>624.12</v>
      </c>
      <c r="K89" s="1">
        <v>227.93</v>
      </c>
    </row>
    <row r="90" spans="1:11" x14ac:dyDescent="0.35">
      <c r="A90">
        <v>532856</v>
      </c>
      <c r="B90">
        <v>1472373</v>
      </c>
      <c r="C90" t="str">
        <f>"HOLY NAME SCHOOL"</f>
        <v>HOLY NAME SCHOOL</v>
      </c>
      <c r="D90" t="s">
        <v>11</v>
      </c>
      <c r="E90" t="s">
        <v>114</v>
      </c>
      <c r="F90" t="s">
        <v>18</v>
      </c>
      <c r="G90">
        <v>77009</v>
      </c>
      <c r="H90">
        <v>2006</v>
      </c>
      <c r="I90" s="1">
        <v>499.3</v>
      </c>
      <c r="J90" s="1">
        <v>624.12</v>
      </c>
      <c r="K90" s="1">
        <v>440.3</v>
      </c>
    </row>
    <row r="91" spans="1:11" x14ac:dyDescent="0.35">
      <c r="A91">
        <v>532877</v>
      </c>
      <c r="B91">
        <v>1472440</v>
      </c>
      <c r="C91" t="str">
        <f>"HOLY ROSARY SCHOOL"</f>
        <v>HOLY ROSARY SCHOOL</v>
      </c>
      <c r="D91" t="s">
        <v>11</v>
      </c>
      <c r="E91" t="s">
        <v>115</v>
      </c>
      <c r="F91" t="s">
        <v>116</v>
      </c>
      <c r="G91">
        <v>77471</v>
      </c>
      <c r="H91">
        <v>2006</v>
      </c>
      <c r="I91" s="1">
        <v>379.73</v>
      </c>
      <c r="J91" s="1">
        <v>949.32</v>
      </c>
      <c r="K91" s="1">
        <v>379.73</v>
      </c>
    </row>
    <row r="92" spans="1:11" x14ac:dyDescent="0.35">
      <c r="A92">
        <v>499418</v>
      </c>
      <c r="B92">
        <v>1374380</v>
      </c>
      <c r="C92" t="str">
        <f>"HOUSTON ALTERNATIVE PREPARATORY CHARTER SCHOOL"</f>
        <v>HOUSTON ALTERNATIVE PREPARATORY CHARTER SCHOOL</v>
      </c>
      <c r="D92" t="s">
        <v>11</v>
      </c>
      <c r="E92" t="s">
        <v>117</v>
      </c>
      <c r="F92" t="s">
        <v>18</v>
      </c>
      <c r="G92">
        <v>77004</v>
      </c>
      <c r="H92">
        <v>2006</v>
      </c>
      <c r="I92" s="1">
        <v>864</v>
      </c>
      <c r="J92" s="1">
        <v>960</v>
      </c>
    </row>
    <row r="93" spans="1:11" x14ac:dyDescent="0.35">
      <c r="A93">
        <v>500283</v>
      </c>
      <c r="B93">
        <v>1634738</v>
      </c>
      <c r="C93" t="str">
        <f>"HOUSTON GATEWAY ACADEMY- MIDDLE SCHOOL"</f>
        <v>HOUSTON GATEWAY ACADEMY- MIDDLE SCHOOL</v>
      </c>
      <c r="D93" t="s">
        <v>11</v>
      </c>
      <c r="E93" t="s">
        <v>118</v>
      </c>
      <c r="F93" t="s">
        <v>18</v>
      </c>
      <c r="G93">
        <v>77012</v>
      </c>
      <c r="H93">
        <v>2006</v>
      </c>
      <c r="I93" s="1">
        <v>6930</v>
      </c>
      <c r="J93" s="1">
        <v>7700</v>
      </c>
    </row>
    <row r="94" spans="1:11" x14ac:dyDescent="0.35">
      <c r="A94">
        <v>500283</v>
      </c>
      <c r="B94">
        <v>1376482</v>
      </c>
      <c r="C94" t="str">
        <f>"HOUSTON GATEWAY ACADEMY- MIDDLE SCHOOL"</f>
        <v>HOUSTON GATEWAY ACADEMY- MIDDLE SCHOOL</v>
      </c>
      <c r="D94" t="s">
        <v>11</v>
      </c>
      <c r="E94" t="s">
        <v>118</v>
      </c>
      <c r="F94" t="s">
        <v>18</v>
      </c>
      <c r="G94">
        <v>77012</v>
      </c>
      <c r="H94">
        <v>2006</v>
      </c>
      <c r="I94" s="1">
        <v>4950</v>
      </c>
      <c r="J94" s="1">
        <v>5500</v>
      </c>
    </row>
    <row r="95" spans="1:11" x14ac:dyDescent="0.35">
      <c r="A95">
        <v>500252</v>
      </c>
      <c r="B95">
        <v>1634735</v>
      </c>
      <c r="C95" t="str">
        <f>"HOUSTON GATEWAY ACADEMY-ELEMENTARY SCHOOL"</f>
        <v>HOUSTON GATEWAY ACADEMY-ELEMENTARY SCHOOL</v>
      </c>
      <c r="D95" t="s">
        <v>11</v>
      </c>
      <c r="E95" t="s">
        <v>119</v>
      </c>
      <c r="F95" t="s">
        <v>18</v>
      </c>
      <c r="G95">
        <v>77087</v>
      </c>
      <c r="H95">
        <v>2006</v>
      </c>
      <c r="I95" s="1">
        <v>3704.15</v>
      </c>
      <c r="J95" s="1">
        <v>4115.72</v>
      </c>
    </row>
    <row r="96" spans="1:11" x14ac:dyDescent="0.35">
      <c r="A96">
        <v>500252</v>
      </c>
      <c r="B96">
        <v>1376417</v>
      </c>
      <c r="C96" t="str">
        <f>"HOUSTON GATEWAY ACADEMY-ELEMENTARY SCHOOL"</f>
        <v>HOUSTON GATEWAY ACADEMY-ELEMENTARY SCHOOL</v>
      </c>
      <c r="D96" t="s">
        <v>11</v>
      </c>
      <c r="E96" t="s">
        <v>119</v>
      </c>
      <c r="F96" t="s">
        <v>18</v>
      </c>
      <c r="G96">
        <v>77087</v>
      </c>
      <c r="H96">
        <v>2006</v>
      </c>
      <c r="I96" s="1">
        <v>9255.82</v>
      </c>
      <c r="J96" s="1">
        <v>10284.25</v>
      </c>
      <c r="K96" s="1">
        <v>9254.24</v>
      </c>
    </row>
    <row r="97" spans="1:11" x14ac:dyDescent="0.35">
      <c r="A97">
        <v>497703</v>
      </c>
      <c r="B97">
        <v>1370508</v>
      </c>
      <c r="C97" t="str">
        <f>"HOUSTON HEIGHTS LEARNING ACADEMY"</f>
        <v>HOUSTON HEIGHTS LEARNING ACADEMY</v>
      </c>
      <c r="D97" t="s">
        <v>11</v>
      </c>
      <c r="E97" t="s">
        <v>120</v>
      </c>
      <c r="F97" t="s">
        <v>18</v>
      </c>
      <c r="G97">
        <v>77007</v>
      </c>
      <c r="H97">
        <v>2006</v>
      </c>
      <c r="I97" s="1">
        <v>2257.1999999999998</v>
      </c>
      <c r="J97" s="1">
        <v>2508</v>
      </c>
      <c r="K97" s="1">
        <v>1324.74</v>
      </c>
    </row>
    <row r="98" spans="1:11" x14ac:dyDescent="0.35">
      <c r="A98">
        <v>508956</v>
      </c>
      <c r="B98">
        <v>1437523</v>
      </c>
      <c r="C98" t="str">
        <f>"HUEY ELEMENTARY SCHOOL"</f>
        <v>HUEY ELEMENTARY SCHOOL</v>
      </c>
      <c r="D98" t="s">
        <v>11</v>
      </c>
      <c r="E98" t="s">
        <v>121</v>
      </c>
      <c r="F98" t="s">
        <v>46</v>
      </c>
      <c r="G98">
        <v>76304</v>
      </c>
      <c r="H98">
        <v>2006</v>
      </c>
      <c r="I98" s="1">
        <v>0</v>
      </c>
      <c r="J98" s="1">
        <v>0</v>
      </c>
    </row>
    <row r="99" spans="1:11" x14ac:dyDescent="0.35">
      <c r="A99">
        <v>508096</v>
      </c>
      <c r="B99">
        <v>1396302</v>
      </c>
      <c r="C99" t="str">
        <f>"JAMIE'S HOUSE CHARTER SCHOOL"</f>
        <v>JAMIE'S HOUSE CHARTER SCHOOL</v>
      </c>
      <c r="D99" t="s">
        <v>11</v>
      </c>
      <c r="E99" t="s">
        <v>122</v>
      </c>
      <c r="F99" t="s">
        <v>18</v>
      </c>
      <c r="G99">
        <v>77090</v>
      </c>
      <c r="H99">
        <v>2006</v>
      </c>
      <c r="I99" s="1">
        <v>1080</v>
      </c>
      <c r="J99" s="1">
        <v>1200</v>
      </c>
      <c r="K99" s="1">
        <v>1080</v>
      </c>
    </row>
    <row r="100" spans="1:11" x14ac:dyDescent="0.35">
      <c r="A100">
        <v>508096</v>
      </c>
      <c r="B100">
        <v>1396323</v>
      </c>
      <c r="C100" t="str">
        <f>"JAMIE'S HOUSE CHARTER SCHOOL"</f>
        <v>JAMIE'S HOUSE CHARTER SCHOOL</v>
      </c>
      <c r="D100" t="s">
        <v>11</v>
      </c>
      <c r="E100" t="s">
        <v>122</v>
      </c>
      <c r="F100" t="s">
        <v>18</v>
      </c>
      <c r="G100">
        <v>77090</v>
      </c>
      <c r="H100">
        <v>2006</v>
      </c>
      <c r="I100" s="1">
        <v>972</v>
      </c>
      <c r="J100" s="1">
        <v>1080</v>
      </c>
    </row>
    <row r="101" spans="1:11" x14ac:dyDescent="0.35">
      <c r="A101">
        <v>535760</v>
      </c>
      <c r="B101">
        <v>1482041</v>
      </c>
      <c r="C101" t="str">
        <f>"JESSE JACKSON ACADEMY"</f>
        <v>JESSE JACKSON ACADEMY</v>
      </c>
      <c r="D101" t="s">
        <v>11</v>
      </c>
      <c r="E101" t="s">
        <v>123</v>
      </c>
      <c r="F101" t="s">
        <v>18</v>
      </c>
      <c r="G101">
        <v>77021</v>
      </c>
      <c r="H101">
        <v>2006</v>
      </c>
      <c r="I101" s="1">
        <v>0</v>
      </c>
      <c r="J101" s="1">
        <v>0</v>
      </c>
    </row>
    <row r="102" spans="1:11" x14ac:dyDescent="0.35">
      <c r="A102">
        <v>533820</v>
      </c>
      <c r="B102">
        <v>1476923</v>
      </c>
      <c r="C102" t="str">
        <f>"JOHN PAUL ll HIGH SCHOOL"</f>
        <v>JOHN PAUL ll HIGH SCHOOL</v>
      </c>
      <c r="D102" t="s">
        <v>11</v>
      </c>
      <c r="E102" t="s">
        <v>124</v>
      </c>
      <c r="F102" t="s">
        <v>125</v>
      </c>
      <c r="G102">
        <v>75075</v>
      </c>
      <c r="H102">
        <v>2006</v>
      </c>
      <c r="I102" s="1">
        <v>0</v>
      </c>
      <c r="J102" s="1">
        <v>0</v>
      </c>
    </row>
    <row r="103" spans="1:11" x14ac:dyDescent="0.35">
      <c r="A103">
        <v>523682</v>
      </c>
      <c r="B103">
        <v>1489005</v>
      </c>
      <c r="C103" t="str">
        <f>"KIPP ASPIRE ACADEMY"</f>
        <v>KIPP ASPIRE ACADEMY</v>
      </c>
      <c r="D103" t="s">
        <v>11</v>
      </c>
      <c r="E103" t="s">
        <v>126</v>
      </c>
      <c r="F103" t="s">
        <v>28</v>
      </c>
      <c r="G103">
        <v>78201</v>
      </c>
      <c r="H103">
        <v>2006</v>
      </c>
      <c r="I103" s="1">
        <v>864</v>
      </c>
      <c r="J103" s="1">
        <v>960</v>
      </c>
    </row>
    <row r="104" spans="1:11" x14ac:dyDescent="0.35">
      <c r="A104">
        <v>523682</v>
      </c>
      <c r="B104">
        <v>1488936</v>
      </c>
      <c r="C104" t="str">
        <f>"KIPP ASPIRE ACADEMY"</f>
        <v>KIPP ASPIRE ACADEMY</v>
      </c>
      <c r="D104" t="s">
        <v>11</v>
      </c>
      <c r="E104" t="s">
        <v>126</v>
      </c>
      <c r="F104" t="s">
        <v>28</v>
      </c>
      <c r="G104">
        <v>78201</v>
      </c>
      <c r="H104">
        <v>2006</v>
      </c>
      <c r="I104" s="1">
        <v>9000</v>
      </c>
      <c r="J104" s="1">
        <v>10000</v>
      </c>
    </row>
    <row r="105" spans="1:11" x14ac:dyDescent="0.35">
      <c r="A105">
        <v>496866</v>
      </c>
      <c r="B105">
        <v>1368278</v>
      </c>
      <c r="C105" t="str">
        <f>"KIPP: AUSTIN COLLEGE PREPARATORY ACADEMY"</f>
        <v>KIPP: AUSTIN COLLEGE PREPARATORY ACADEMY</v>
      </c>
      <c r="D105" t="s">
        <v>11</v>
      </c>
      <c r="E105" t="s">
        <v>127</v>
      </c>
      <c r="F105" t="s">
        <v>25</v>
      </c>
      <c r="G105">
        <v>78724</v>
      </c>
      <c r="H105">
        <v>2006</v>
      </c>
      <c r="I105" s="1">
        <v>465.75</v>
      </c>
      <c r="J105" s="1">
        <v>547.55999999999995</v>
      </c>
      <c r="K105" s="1">
        <v>465.75</v>
      </c>
    </row>
    <row r="106" spans="1:11" x14ac:dyDescent="0.35">
      <c r="A106">
        <v>496866</v>
      </c>
      <c r="B106">
        <v>1368264</v>
      </c>
      <c r="C106" t="str">
        <f>"KIPP: AUSTIN COLLEGE PREPARATORY ACADEMY"</f>
        <v>KIPP: AUSTIN COLLEGE PREPARATORY ACADEMY</v>
      </c>
      <c r="D106" t="s">
        <v>11</v>
      </c>
      <c r="E106" t="s">
        <v>127</v>
      </c>
      <c r="F106" t="s">
        <v>25</v>
      </c>
      <c r="G106">
        <v>78724</v>
      </c>
      <c r="H106">
        <v>2006</v>
      </c>
      <c r="I106" s="1">
        <v>16495.46</v>
      </c>
      <c r="J106" s="1">
        <v>48000</v>
      </c>
      <c r="K106" s="1">
        <v>16495.46</v>
      </c>
    </row>
    <row r="107" spans="1:11" x14ac:dyDescent="0.35">
      <c r="A107">
        <v>536246</v>
      </c>
      <c r="B107">
        <v>1483612</v>
      </c>
      <c r="C107" t="str">
        <f>"LA AMISTAD LOVE &amp; LEARNING ACADEMY"</f>
        <v>LA AMISTAD LOVE &amp; LEARNING ACADEMY</v>
      </c>
      <c r="D107" t="s">
        <v>11</v>
      </c>
      <c r="E107" t="s">
        <v>128</v>
      </c>
      <c r="F107" t="s">
        <v>18</v>
      </c>
      <c r="G107">
        <v>77096</v>
      </c>
      <c r="H107">
        <v>2006</v>
      </c>
      <c r="I107" s="1">
        <v>0</v>
      </c>
      <c r="J107" s="1">
        <v>0</v>
      </c>
    </row>
    <row r="108" spans="1:11" x14ac:dyDescent="0.35">
      <c r="A108">
        <v>528017</v>
      </c>
      <c r="B108">
        <v>1456365</v>
      </c>
      <c r="C108" t="str">
        <f>"LASARA INDEP SCHOOL DISTRICT"</f>
        <v>LASARA INDEP SCHOOL DISTRICT</v>
      </c>
      <c r="D108" t="s">
        <v>11</v>
      </c>
      <c r="E108" t="s">
        <v>129</v>
      </c>
      <c r="F108" t="s">
        <v>130</v>
      </c>
      <c r="G108">
        <v>78561</v>
      </c>
      <c r="H108">
        <v>2006</v>
      </c>
      <c r="I108" s="1">
        <v>551.88</v>
      </c>
      <c r="J108" s="1">
        <v>613.20000000000005</v>
      </c>
    </row>
    <row r="109" spans="1:11" x14ac:dyDescent="0.35">
      <c r="A109">
        <v>503815</v>
      </c>
      <c r="B109">
        <v>1384377</v>
      </c>
      <c r="C109" t="str">
        <f>"LASARA INDEP SCHOOL DISTRICT"</f>
        <v>LASARA INDEP SCHOOL DISTRICT</v>
      </c>
      <c r="D109" t="s">
        <v>11</v>
      </c>
      <c r="E109" t="s">
        <v>129</v>
      </c>
      <c r="F109" t="s">
        <v>130</v>
      </c>
      <c r="G109">
        <v>78561</v>
      </c>
      <c r="H109">
        <v>2006</v>
      </c>
      <c r="I109" s="1">
        <v>571.86</v>
      </c>
      <c r="J109" s="1">
        <v>635.4</v>
      </c>
      <c r="K109" s="1">
        <v>571.66</v>
      </c>
    </row>
    <row r="110" spans="1:11" x14ac:dyDescent="0.35">
      <c r="A110">
        <v>503815</v>
      </c>
      <c r="B110">
        <v>1384388</v>
      </c>
      <c r="C110" t="str">
        <f>"LASARA INDEP SCHOOL DISTRICT"</f>
        <v>LASARA INDEP SCHOOL DISTRICT</v>
      </c>
      <c r="D110" t="s">
        <v>11</v>
      </c>
      <c r="E110" t="s">
        <v>129</v>
      </c>
      <c r="F110" t="s">
        <v>130</v>
      </c>
      <c r="G110">
        <v>78561</v>
      </c>
      <c r="H110">
        <v>2006</v>
      </c>
      <c r="I110" s="1">
        <v>6024.35</v>
      </c>
      <c r="J110" s="1">
        <v>6693.72</v>
      </c>
      <c r="K110" s="1">
        <v>6024.24</v>
      </c>
    </row>
    <row r="111" spans="1:11" x14ac:dyDescent="0.35">
      <c r="A111">
        <v>503815</v>
      </c>
      <c r="B111">
        <v>1384417</v>
      </c>
      <c r="C111" t="str">
        <f>"LASARA INDEP SCHOOL DISTRICT"</f>
        <v>LASARA INDEP SCHOOL DISTRICT</v>
      </c>
      <c r="D111" t="s">
        <v>11</v>
      </c>
      <c r="E111" t="s">
        <v>129</v>
      </c>
      <c r="F111" t="s">
        <v>130</v>
      </c>
      <c r="G111">
        <v>78561</v>
      </c>
      <c r="H111">
        <v>2006</v>
      </c>
      <c r="I111" s="1">
        <v>788.4</v>
      </c>
      <c r="J111" s="1">
        <v>876</v>
      </c>
    </row>
    <row r="112" spans="1:11" x14ac:dyDescent="0.35">
      <c r="A112">
        <v>503815</v>
      </c>
      <c r="B112">
        <v>1384400</v>
      </c>
      <c r="C112" t="str">
        <f>"LASARA INDEP SCHOOL DISTRICT"</f>
        <v>LASARA INDEP SCHOOL DISTRICT</v>
      </c>
      <c r="D112" t="s">
        <v>11</v>
      </c>
      <c r="E112" t="s">
        <v>129</v>
      </c>
      <c r="F112" t="s">
        <v>130</v>
      </c>
      <c r="G112">
        <v>78561</v>
      </c>
      <c r="H112">
        <v>2006</v>
      </c>
      <c r="I112" s="1">
        <v>8159.9</v>
      </c>
      <c r="J112" s="1">
        <v>9066.56</v>
      </c>
      <c r="K112" s="1">
        <v>3595.92</v>
      </c>
    </row>
    <row r="113" spans="1:11" x14ac:dyDescent="0.35">
      <c r="A113">
        <v>523446</v>
      </c>
      <c r="B113">
        <v>1445301</v>
      </c>
      <c r="C113" t="str">
        <f>"LINDALE INDEP SCHOOL DISTRICT"</f>
        <v>LINDALE INDEP SCHOOL DISTRICT</v>
      </c>
      <c r="D113" t="s">
        <v>11</v>
      </c>
      <c r="E113" t="s">
        <v>131</v>
      </c>
      <c r="F113" t="s">
        <v>132</v>
      </c>
      <c r="G113">
        <v>75771</v>
      </c>
      <c r="H113">
        <v>2006</v>
      </c>
      <c r="I113" s="1">
        <v>5292</v>
      </c>
      <c r="J113" s="1">
        <v>8400</v>
      </c>
      <c r="K113" s="1">
        <v>5292</v>
      </c>
    </row>
    <row r="114" spans="1:11" x14ac:dyDescent="0.35">
      <c r="A114">
        <v>520540</v>
      </c>
      <c r="B114">
        <v>1434372</v>
      </c>
      <c r="C114" t="str">
        <f>"LONGVIEW ACCELERATED INTERMEDIATE ACADEMY"</f>
        <v>LONGVIEW ACCELERATED INTERMEDIATE ACADEMY</v>
      </c>
      <c r="D114" t="s">
        <v>11</v>
      </c>
      <c r="E114" t="s">
        <v>133</v>
      </c>
      <c r="F114" t="s">
        <v>134</v>
      </c>
      <c r="G114">
        <v>75602</v>
      </c>
      <c r="H114">
        <v>2006</v>
      </c>
      <c r="I114" s="1">
        <v>0</v>
      </c>
      <c r="J114" s="1">
        <v>0</v>
      </c>
    </row>
    <row r="115" spans="1:11" x14ac:dyDescent="0.35">
      <c r="A115">
        <v>520540</v>
      </c>
      <c r="B115">
        <v>1434377</v>
      </c>
      <c r="C115" t="str">
        <f>"LONGVIEW ACCELERATED INTERMEDIATE ACADEMY"</f>
        <v>LONGVIEW ACCELERATED INTERMEDIATE ACADEMY</v>
      </c>
      <c r="D115" t="s">
        <v>11</v>
      </c>
      <c r="E115" t="s">
        <v>133</v>
      </c>
      <c r="F115" t="s">
        <v>134</v>
      </c>
      <c r="G115">
        <v>75602</v>
      </c>
      <c r="H115">
        <v>2006</v>
      </c>
      <c r="I115" s="1">
        <v>0</v>
      </c>
      <c r="J115" s="1">
        <v>0</v>
      </c>
    </row>
    <row r="116" spans="1:11" x14ac:dyDescent="0.35">
      <c r="A116">
        <v>516228</v>
      </c>
      <c r="B116">
        <v>1435213</v>
      </c>
      <c r="C116" t="str">
        <f>"LOOP INDEP SCHOOL DISTRICT"</f>
        <v>LOOP INDEP SCHOOL DISTRICT</v>
      </c>
      <c r="D116" t="s">
        <v>11</v>
      </c>
      <c r="E116" t="s">
        <v>135</v>
      </c>
      <c r="F116" t="s">
        <v>136</v>
      </c>
      <c r="G116">
        <v>79342</v>
      </c>
      <c r="H116">
        <v>2006</v>
      </c>
      <c r="I116" s="1">
        <v>4800</v>
      </c>
      <c r="J116" s="1">
        <v>6000</v>
      </c>
      <c r="K116" s="1">
        <v>4800</v>
      </c>
    </row>
    <row r="117" spans="1:11" x14ac:dyDescent="0.35">
      <c r="A117">
        <v>519377</v>
      </c>
      <c r="B117">
        <v>1429237</v>
      </c>
      <c r="C117" t="str">
        <f>"MATAGORDA INDEP SCHOOL DIST"</f>
        <v>MATAGORDA INDEP SCHOOL DIST</v>
      </c>
      <c r="D117" t="s">
        <v>11</v>
      </c>
      <c r="E117" t="s">
        <v>137</v>
      </c>
      <c r="F117" t="s">
        <v>138</v>
      </c>
      <c r="G117">
        <v>77457</v>
      </c>
      <c r="H117">
        <v>2006</v>
      </c>
      <c r="I117" s="1">
        <v>5189.8500000000004</v>
      </c>
      <c r="J117" s="1">
        <v>5766.5</v>
      </c>
      <c r="K117" s="1">
        <v>5189.8500000000004</v>
      </c>
    </row>
    <row r="118" spans="1:11" x14ac:dyDescent="0.35">
      <c r="A118">
        <v>519377</v>
      </c>
      <c r="B118">
        <v>1428988</v>
      </c>
      <c r="C118" t="str">
        <f>"MATAGORDA INDEP SCHOOL DIST"</f>
        <v>MATAGORDA INDEP SCHOOL DIST</v>
      </c>
      <c r="D118" t="s">
        <v>11</v>
      </c>
      <c r="E118" t="s">
        <v>137</v>
      </c>
      <c r="F118" t="s">
        <v>138</v>
      </c>
      <c r="G118">
        <v>77457</v>
      </c>
      <c r="H118">
        <v>2006</v>
      </c>
      <c r="I118" s="1">
        <v>8640</v>
      </c>
      <c r="J118" s="1">
        <v>9600</v>
      </c>
      <c r="K118" s="1">
        <v>8640</v>
      </c>
    </row>
    <row r="119" spans="1:11" x14ac:dyDescent="0.35">
      <c r="A119">
        <v>520368</v>
      </c>
      <c r="B119">
        <v>1432453</v>
      </c>
      <c r="C119" t="str">
        <f>"MEMPHIS HIGH SCHOOL"</f>
        <v>MEMPHIS HIGH SCHOOL</v>
      </c>
      <c r="D119" t="s">
        <v>11</v>
      </c>
      <c r="E119" t="s">
        <v>139</v>
      </c>
      <c r="F119" t="s">
        <v>30</v>
      </c>
      <c r="G119">
        <v>79245</v>
      </c>
      <c r="H119">
        <v>2006</v>
      </c>
      <c r="I119" s="1">
        <v>4650.4399999999996</v>
      </c>
      <c r="J119" s="1">
        <v>5813.05</v>
      </c>
      <c r="K119" s="1">
        <v>4650.4399999999996</v>
      </c>
    </row>
    <row r="120" spans="1:11" x14ac:dyDescent="0.35">
      <c r="A120">
        <v>520654</v>
      </c>
      <c r="B120">
        <v>1433257</v>
      </c>
      <c r="C120" t="str">
        <f>"MEMPHIS MIDDLE SCHOOL"</f>
        <v>MEMPHIS MIDDLE SCHOOL</v>
      </c>
      <c r="D120" t="s">
        <v>11</v>
      </c>
      <c r="E120" t="s">
        <v>140</v>
      </c>
      <c r="F120" t="s">
        <v>30</v>
      </c>
      <c r="G120">
        <v>79245</v>
      </c>
      <c r="H120">
        <v>2006</v>
      </c>
      <c r="I120" s="1">
        <v>0</v>
      </c>
      <c r="J120" s="1">
        <v>0</v>
      </c>
    </row>
    <row r="121" spans="1:11" x14ac:dyDescent="0.35">
      <c r="A121">
        <v>527981</v>
      </c>
      <c r="B121">
        <v>1456193</v>
      </c>
      <c r="C121" t="str">
        <f>"MEYERSVILLE INDEP SCHOOL DIST"</f>
        <v>MEYERSVILLE INDEP SCHOOL DIST</v>
      </c>
      <c r="D121" t="s">
        <v>11</v>
      </c>
      <c r="E121" t="s">
        <v>141</v>
      </c>
      <c r="F121" t="s">
        <v>142</v>
      </c>
      <c r="G121">
        <v>77974</v>
      </c>
      <c r="H121">
        <v>2006</v>
      </c>
      <c r="I121" s="1">
        <v>3080.7</v>
      </c>
      <c r="J121" s="1">
        <v>4401</v>
      </c>
      <c r="K121" s="1">
        <v>2567.6</v>
      </c>
    </row>
    <row r="122" spans="1:11" x14ac:dyDescent="0.35">
      <c r="A122">
        <v>505756</v>
      </c>
      <c r="B122">
        <v>1409622</v>
      </c>
      <c r="C122" t="str">
        <f>"MIAMI INDEP SCHOOL DISTRICT"</f>
        <v>MIAMI INDEP SCHOOL DISTRICT</v>
      </c>
      <c r="D122" t="s">
        <v>11</v>
      </c>
      <c r="E122" t="s">
        <v>143</v>
      </c>
      <c r="F122" t="s">
        <v>144</v>
      </c>
      <c r="G122">
        <v>79059</v>
      </c>
      <c r="H122">
        <v>2006</v>
      </c>
      <c r="I122" s="1">
        <v>2100</v>
      </c>
      <c r="J122" s="1">
        <v>8400</v>
      </c>
      <c r="K122" s="1">
        <v>2100</v>
      </c>
    </row>
    <row r="123" spans="1:11" x14ac:dyDescent="0.35">
      <c r="A123">
        <v>532909</v>
      </c>
      <c r="B123">
        <v>1472602</v>
      </c>
      <c r="C123" t="str">
        <f>"MOUNT CARMEL HIGH SCHOOL"</f>
        <v>MOUNT CARMEL HIGH SCHOOL</v>
      </c>
      <c r="D123" t="s">
        <v>11</v>
      </c>
      <c r="E123" t="s">
        <v>145</v>
      </c>
      <c r="F123" t="s">
        <v>18</v>
      </c>
      <c r="G123">
        <v>77087</v>
      </c>
      <c r="H123">
        <v>2006</v>
      </c>
      <c r="I123" s="1">
        <v>2124</v>
      </c>
      <c r="J123" s="1">
        <v>4248</v>
      </c>
      <c r="K123" s="1">
        <v>2024.5</v>
      </c>
    </row>
    <row r="124" spans="1:11" x14ac:dyDescent="0.35">
      <c r="A124">
        <v>516128</v>
      </c>
      <c r="B124">
        <v>1420575</v>
      </c>
      <c r="C124" t="str">
        <f>"MSGR KELLY CATHOLIC HIGH SCH"</f>
        <v>MSGR KELLY CATHOLIC HIGH SCH</v>
      </c>
      <c r="D124" t="s">
        <v>11</v>
      </c>
      <c r="E124" t="s">
        <v>146</v>
      </c>
      <c r="F124" t="s">
        <v>72</v>
      </c>
      <c r="G124">
        <v>77707</v>
      </c>
      <c r="H124">
        <v>2006</v>
      </c>
      <c r="I124" s="1">
        <v>1760.4</v>
      </c>
      <c r="J124" s="1">
        <v>4401</v>
      </c>
      <c r="K124" s="1">
        <v>1467.2</v>
      </c>
    </row>
    <row r="125" spans="1:11" x14ac:dyDescent="0.35">
      <c r="A125">
        <v>503478</v>
      </c>
      <c r="B125">
        <v>1383722</v>
      </c>
      <c r="C125" t="str">
        <f>"MURCHISON INDEP SCHOOL DIST"</f>
        <v>MURCHISON INDEP SCHOOL DIST</v>
      </c>
      <c r="D125" t="s">
        <v>11</v>
      </c>
      <c r="E125" t="s">
        <v>147</v>
      </c>
      <c r="F125" t="s">
        <v>148</v>
      </c>
      <c r="G125">
        <v>75778</v>
      </c>
      <c r="H125">
        <v>2006</v>
      </c>
      <c r="I125" s="1">
        <v>8496</v>
      </c>
      <c r="J125" s="1">
        <v>10620</v>
      </c>
      <c r="K125" s="1">
        <v>8496</v>
      </c>
    </row>
    <row r="126" spans="1:11" x14ac:dyDescent="0.35">
      <c r="A126">
        <v>510156</v>
      </c>
      <c r="B126">
        <v>1402666</v>
      </c>
      <c r="C126" t="str">
        <f>"NOTRE DAME OF DALLAS SCHOOL"</f>
        <v>NOTRE DAME OF DALLAS SCHOOL</v>
      </c>
      <c r="D126" t="s">
        <v>11</v>
      </c>
      <c r="E126" t="s">
        <v>149</v>
      </c>
      <c r="F126" t="s">
        <v>13</v>
      </c>
      <c r="G126">
        <v>75204</v>
      </c>
      <c r="H126">
        <v>2006</v>
      </c>
      <c r="I126" s="1">
        <v>200.3</v>
      </c>
      <c r="J126" s="1">
        <v>1001.52</v>
      </c>
      <c r="K126" s="1">
        <v>125.69</v>
      </c>
    </row>
    <row r="127" spans="1:11" x14ac:dyDescent="0.35">
      <c r="A127">
        <v>509295</v>
      </c>
      <c r="B127">
        <v>1400143</v>
      </c>
      <c r="C127" t="str">
        <f>"NURSERY ELEMENTARY SCHOOL"</f>
        <v>NURSERY ELEMENTARY SCHOOL</v>
      </c>
      <c r="D127" t="s">
        <v>11</v>
      </c>
      <c r="E127" t="s">
        <v>150</v>
      </c>
      <c r="F127" t="s">
        <v>151</v>
      </c>
      <c r="G127">
        <v>77976</v>
      </c>
      <c r="H127">
        <v>2006</v>
      </c>
      <c r="I127" s="1">
        <v>5760</v>
      </c>
      <c r="J127" s="1">
        <v>9600</v>
      </c>
      <c r="K127" s="1">
        <v>5760</v>
      </c>
    </row>
    <row r="128" spans="1:11" x14ac:dyDescent="0.35">
      <c r="A128">
        <v>510716</v>
      </c>
      <c r="B128">
        <v>1404263</v>
      </c>
      <c r="C128" t="str">
        <f>"NYOS CHARTER SCHOOL"</f>
        <v>NYOS CHARTER SCHOOL</v>
      </c>
      <c r="D128" t="s">
        <v>11</v>
      </c>
      <c r="E128" t="s">
        <v>152</v>
      </c>
      <c r="F128" t="s">
        <v>25</v>
      </c>
      <c r="G128">
        <v>78753</v>
      </c>
      <c r="H128">
        <v>2006</v>
      </c>
      <c r="I128" s="1">
        <v>2464.9899999999998</v>
      </c>
      <c r="J128" s="1">
        <v>3081.24</v>
      </c>
      <c r="K128" s="1">
        <v>2464.9899999999998</v>
      </c>
    </row>
    <row r="129" spans="1:11" x14ac:dyDescent="0.35">
      <c r="A129">
        <v>501855</v>
      </c>
      <c r="B129">
        <v>1394677</v>
      </c>
      <c r="C129" t="str">
        <f>"OAKRIDGE SCHOOL"</f>
        <v>OAKRIDGE SCHOOL</v>
      </c>
      <c r="D129" t="s">
        <v>11</v>
      </c>
      <c r="E129" t="s">
        <v>153</v>
      </c>
      <c r="F129" t="s">
        <v>154</v>
      </c>
      <c r="G129">
        <v>76013</v>
      </c>
      <c r="H129">
        <v>2006</v>
      </c>
      <c r="I129" s="1">
        <v>720</v>
      </c>
      <c r="J129" s="1">
        <v>3600</v>
      </c>
    </row>
    <row r="130" spans="1:11" x14ac:dyDescent="0.35">
      <c r="A130">
        <v>532953</v>
      </c>
      <c r="B130">
        <v>1472760</v>
      </c>
      <c r="C130" t="str">
        <f>"OUR LADY OF FATIMA SCHOOL"</f>
        <v>OUR LADY OF FATIMA SCHOOL</v>
      </c>
      <c r="D130" t="s">
        <v>11</v>
      </c>
      <c r="E130" t="s">
        <v>155</v>
      </c>
      <c r="F130" t="s">
        <v>156</v>
      </c>
      <c r="G130">
        <v>77590</v>
      </c>
      <c r="H130">
        <v>2006</v>
      </c>
      <c r="I130" s="1">
        <v>589.20000000000005</v>
      </c>
      <c r="J130" s="1">
        <v>1178.4000000000001</v>
      </c>
      <c r="K130" s="1">
        <v>409.5</v>
      </c>
    </row>
    <row r="131" spans="1:11" x14ac:dyDescent="0.35">
      <c r="A131">
        <v>532939</v>
      </c>
      <c r="B131">
        <v>1472701</v>
      </c>
      <c r="C131" t="str">
        <f>"OUR LADY OF FATIMA SCHOOL"</f>
        <v>OUR LADY OF FATIMA SCHOOL</v>
      </c>
      <c r="D131" t="s">
        <v>11</v>
      </c>
      <c r="E131" t="s">
        <v>157</v>
      </c>
      <c r="F131" t="s">
        <v>158</v>
      </c>
      <c r="G131">
        <v>77547</v>
      </c>
      <c r="H131">
        <v>2006</v>
      </c>
      <c r="I131" s="1">
        <v>479.7</v>
      </c>
      <c r="J131" s="1">
        <v>959.4</v>
      </c>
      <c r="K131" s="1">
        <v>479.7</v>
      </c>
    </row>
    <row r="132" spans="1:11" x14ac:dyDescent="0.35">
      <c r="A132">
        <v>532678</v>
      </c>
      <c r="B132">
        <v>1471841</v>
      </c>
      <c r="C132" t="str">
        <f>"OUR LADY OF GUADALUPE SCHOOL"</f>
        <v>OUR LADY OF GUADALUPE SCHOOL</v>
      </c>
      <c r="D132" t="s">
        <v>11</v>
      </c>
      <c r="E132" t="s">
        <v>159</v>
      </c>
      <c r="F132" t="s">
        <v>18</v>
      </c>
      <c r="G132">
        <v>77003</v>
      </c>
      <c r="H132">
        <v>2006</v>
      </c>
      <c r="I132" s="1">
        <v>5314.68</v>
      </c>
      <c r="J132" s="1">
        <v>8857.7999999999993</v>
      </c>
      <c r="K132" s="1">
        <v>5314.68</v>
      </c>
    </row>
    <row r="133" spans="1:11" x14ac:dyDescent="0.35">
      <c r="A133">
        <v>533731</v>
      </c>
      <c r="B133">
        <v>1480263</v>
      </c>
      <c r="C133" t="str">
        <f>"OUR LADY OF GUADULAPE SCHOOL"</f>
        <v>OUR LADY OF GUADULAPE SCHOOL</v>
      </c>
      <c r="D133" t="s">
        <v>11</v>
      </c>
      <c r="E133" t="s">
        <v>160</v>
      </c>
      <c r="F133" t="s">
        <v>76</v>
      </c>
      <c r="G133">
        <v>78040</v>
      </c>
      <c r="H133">
        <v>2006</v>
      </c>
      <c r="I133" s="1">
        <v>654.72</v>
      </c>
      <c r="J133" s="1">
        <v>818.4</v>
      </c>
    </row>
    <row r="134" spans="1:11" x14ac:dyDescent="0.35">
      <c r="A134">
        <v>532972</v>
      </c>
      <c r="B134">
        <v>1472844</v>
      </c>
      <c r="C134" t="str">
        <f>"OUR LADY OF LOURDES SCHOOL"</f>
        <v>OUR LADY OF LOURDES SCHOOL</v>
      </c>
      <c r="D134" t="s">
        <v>11</v>
      </c>
      <c r="E134" t="s">
        <v>161</v>
      </c>
      <c r="F134" t="s">
        <v>162</v>
      </c>
      <c r="G134">
        <v>77563</v>
      </c>
      <c r="H134">
        <v>2006</v>
      </c>
      <c r="I134" s="1">
        <v>503.52</v>
      </c>
      <c r="J134" s="1">
        <v>1258.8</v>
      </c>
      <c r="K134" s="1">
        <v>0</v>
      </c>
    </row>
    <row r="135" spans="1:11" x14ac:dyDescent="0.35">
      <c r="A135">
        <v>532984</v>
      </c>
      <c r="B135">
        <v>1472898</v>
      </c>
      <c r="C135" t="str">
        <f>"OUR LADY OF MT. CARMEL SCHOOL"</f>
        <v>OUR LADY OF MT. CARMEL SCHOOL</v>
      </c>
      <c r="D135" t="s">
        <v>11</v>
      </c>
      <c r="E135" t="s">
        <v>163</v>
      </c>
      <c r="F135" t="s">
        <v>18</v>
      </c>
      <c r="G135">
        <v>77087</v>
      </c>
      <c r="H135">
        <v>2006</v>
      </c>
      <c r="I135" s="1">
        <v>809.4</v>
      </c>
      <c r="J135" s="1">
        <v>1618.8</v>
      </c>
      <c r="K135" s="1">
        <v>517.22</v>
      </c>
    </row>
    <row r="136" spans="1:11" x14ac:dyDescent="0.35">
      <c r="A136">
        <v>533815</v>
      </c>
      <c r="B136">
        <v>1475512</v>
      </c>
      <c r="C136" t="str">
        <f>"OUR LADY OF REFUGE SCHOOL"</f>
        <v>OUR LADY OF REFUGE SCHOOL</v>
      </c>
      <c r="D136" t="s">
        <v>11</v>
      </c>
      <c r="E136" t="s">
        <v>164</v>
      </c>
      <c r="F136" t="s">
        <v>165</v>
      </c>
      <c r="G136">
        <v>78852</v>
      </c>
      <c r="H136">
        <v>2006</v>
      </c>
      <c r="I136" s="1">
        <v>0</v>
      </c>
      <c r="J136" s="1">
        <v>0</v>
      </c>
    </row>
    <row r="137" spans="1:11" x14ac:dyDescent="0.35">
      <c r="A137">
        <v>533149</v>
      </c>
      <c r="B137">
        <v>1473595</v>
      </c>
      <c r="C137" t="str">
        <f>"OUR LADY OF THE LAKE UNIVERSITY"</f>
        <v>OUR LADY OF THE LAKE UNIVERSITY</v>
      </c>
      <c r="D137" t="s">
        <v>11</v>
      </c>
      <c r="E137" t="s">
        <v>166</v>
      </c>
      <c r="F137" t="s">
        <v>28</v>
      </c>
      <c r="G137">
        <v>78207</v>
      </c>
      <c r="H137">
        <v>2006</v>
      </c>
      <c r="I137" s="1">
        <v>1351.62</v>
      </c>
      <c r="J137" s="1">
        <v>2703.24</v>
      </c>
    </row>
    <row r="138" spans="1:11" x14ac:dyDescent="0.35">
      <c r="A138">
        <v>533149</v>
      </c>
      <c r="B138">
        <v>1473633</v>
      </c>
      <c r="C138" t="str">
        <f>"OUR LADY OF THE LAKE UNIVERSITY"</f>
        <v>OUR LADY OF THE LAKE UNIVERSITY</v>
      </c>
      <c r="D138" t="s">
        <v>11</v>
      </c>
      <c r="E138" t="s">
        <v>166</v>
      </c>
      <c r="F138" t="s">
        <v>28</v>
      </c>
      <c r="G138">
        <v>78207</v>
      </c>
      <c r="H138">
        <v>2006</v>
      </c>
      <c r="I138" s="1">
        <v>41.58</v>
      </c>
      <c r="J138" s="1">
        <v>83.16</v>
      </c>
    </row>
    <row r="139" spans="1:11" x14ac:dyDescent="0.35">
      <c r="A139">
        <v>533000</v>
      </c>
      <c r="B139">
        <v>1473001</v>
      </c>
      <c r="C139" t="str">
        <f>"OUR MOTHER OF MERCY SCHOOL"</f>
        <v>OUR MOTHER OF MERCY SCHOOL</v>
      </c>
      <c r="D139" t="s">
        <v>11</v>
      </c>
      <c r="E139" t="s">
        <v>167</v>
      </c>
      <c r="F139" t="s">
        <v>18</v>
      </c>
      <c r="G139">
        <v>77020</v>
      </c>
      <c r="H139">
        <v>2006</v>
      </c>
      <c r="I139" s="1">
        <v>491.4</v>
      </c>
      <c r="J139" s="1">
        <v>819</v>
      </c>
      <c r="K139" s="1">
        <v>491.4</v>
      </c>
    </row>
    <row r="140" spans="1:11" x14ac:dyDescent="0.35">
      <c r="A140">
        <v>516368</v>
      </c>
      <c r="B140">
        <v>1467356</v>
      </c>
      <c r="C140" t="str">
        <f>"Odyssey Academy"</f>
        <v>Odyssey Academy</v>
      </c>
      <c r="D140" t="s">
        <v>11</v>
      </c>
      <c r="E140" t="s">
        <v>168</v>
      </c>
      <c r="F140" t="s">
        <v>169</v>
      </c>
      <c r="G140">
        <v>77550</v>
      </c>
      <c r="H140">
        <v>2006</v>
      </c>
      <c r="I140" s="1">
        <v>4698</v>
      </c>
      <c r="J140" s="1">
        <v>5220</v>
      </c>
      <c r="K140" s="1">
        <v>2298.7199999999998</v>
      </c>
    </row>
    <row r="141" spans="1:11" x14ac:dyDescent="0.35">
      <c r="A141">
        <v>537222</v>
      </c>
      <c r="B141">
        <v>1487948</v>
      </c>
      <c r="C141" t="str">
        <f>"PENELOPE INDEP SCHOOL DISTRICT"</f>
        <v>PENELOPE INDEP SCHOOL DISTRICT</v>
      </c>
      <c r="D141" t="s">
        <v>11</v>
      </c>
      <c r="E141" t="s">
        <v>170</v>
      </c>
      <c r="F141" t="s">
        <v>171</v>
      </c>
      <c r="G141">
        <v>76676</v>
      </c>
      <c r="H141">
        <v>2006</v>
      </c>
      <c r="I141" s="1">
        <v>9792</v>
      </c>
      <c r="J141" s="1">
        <v>12240</v>
      </c>
      <c r="K141" s="1">
        <v>9792</v>
      </c>
    </row>
    <row r="142" spans="1:11" x14ac:dyDescent="0.35">
      <c r="A142">
        <v>532060</v>
      </c>
      <c r="B142">
        <v>1469682</v>
      </c>
      <c r="C142" t="str">
        <f>"PEP HIGH SCHOOL"</f>
        <v>PEP HIGH SCHOOL</v>
      </c>
      <c r="D142" t="s">
        <v>11</v>
      </c>
      <c r="E142" t="s">
        <v>172</v>
      </c>
      <c r="F142" t="s">
        <v>173</v>
      </c>
      <c r="G142">
        <v>79353</v>
      </c>
      <c r="H142">
        <v>2006</v>
      </c>
      <c r="I142" s="1">
        <v>4665.17</v>
      </c>
      <c r="J142" s="1">
        <v>5183.5200000000004</v>
      </c>
      <c r="K142" s="1">
        <v>4665.17</v>
      </c>
    </row>
    <row r="143" spans="1:11" x14ac:dyDescent="0.35">
      <c r="A143">
        <v>498440</v>
      </c>
      <c r="B143">
        <v>1485680</v>
      </c>
      <c r="C143" t="str">
        <f>"PRINCE OF PEACE CATHOLIC SCH"</f>
        <v>PRINCE OF PEACE CATHOLIC SCH</v>
      </c>
      <c r="D143" t="s">
        <v>11</v>
      </c>
      <c r="E143" t="s">
        <v>174</v>
      </c>
      <c r="F143" t="s">
        <v>125</v>
      </c>
      <c r="G143">
        <v>75093</v>
      </c>
      <c r="H143">
        <v>2006</v>
      </c>
      <c r="I143" s="1">
        <v>2640</v>
      </c>
      <c r="J143" s="1">
        <v>6600</v>
      </c>
      <c r="K143" s="1">
        <v>2640</v>
      </c>
    </row>
    <row r="144" spans="1:11" x14ac:dyDescent="0.35">
      <c r="A144">
        <v>500670</v>
      </c>
      <c r="B144">
        <v>1377590</v>
      </c>
      <c r="C144" t="str">
        <f>"PRO-VISION SCHOOL OF TECHNOLOGY"</f>
        <v>PRO-VISION SCHOOL OF TECHNOLOGY</v>
      </c>
      <c r="D144" t="s">
        <v>11</v>
      </c>
      <c r="E144" t="s">
        <v>175</v>
      </c>
      <c r="F144" t="s">
        <v>18</v>
      </c>
      <c r="G144">
        <v>77021</v>
      </c>
      <c r="H144">
        <v>2006</v>
      </c>
      <c r="I144" s="1">
        <v>737.1</v>
      </c>
      <c r="J144" s="1">
        <v>819</v>
      </c>
      <c r="K144" s="1">
        <v>701.52</v>
      </c>
    </row>
    <row r="145" spans="1:11" x14ac:dyDescent="0.35">
      <c r="A145">
        <v>532858</v>
      </c>
      <c r="B145">
        <v>1472419</v>
      </c>
      <c r="C145" t="str">
        <f>"PROVIDENCE HIGH SCHOOL"</f>
        <v>PROVIDENCE HIGH SCHOOL</v>
      </c>
      <c r="D145" t="s">
        <v>11</v>
      </c>
      <c r="E145" t="s">
        <v>176</v>
      </c>
      <c r="F145" t="s">
        <v>28</v>
      </c>
      <c r="G145">
        <v>78215</v>
      </c>
      <c r="H145">
        <v>2006</v>
      </c>
      <c r="I145" s="1">
        <v>602.78</v>
      </c>
      <c r="J145" s="1">
        <v>1506.96</v>
      </c>
      <c r="K145" s="1">
        <v>306.2</v>
      </c>
    </row>
    <row r="146" spans="1:11" x14ac:dyDescent="0.35">
      <c r="A146">
        <v>533454</v>
      </c>
      <c r="B146">
        <v>1474504</v>
      </c>
      <c r="C146" t="str">
        <f>"QUEEN OF PEACE SCHOOL"</f>
        <v>QUEEN OF PEACE SCHOOL</v>
      </c>
      <c r="D146" t="s">
        <v>11</v>
      </c>
      <c r="E146" t="s">
        <v>177</v>
      </c>
      <c r="F146" t="s">
        <v>18</v>
      </c>
      <c r="G146">
        <v>77023</v>
      </c>
      <c r="H146">
        <v>2006</v>
      </c>
      <c r="I146" s="1">
        <v>0</v>
      </c>
      <c r="J146" s="1">
        <v>0</v>
      </c>
    </row>
    <row r="147" spans="1:11" x14ac:dyDescent="0.35">
      <c r="A147">
        <v>525980</v>
      </c>
      <c r="B147">
        <v>1450744</v>
      </c>
      <c r="C147" t="str">
        <f>"RAUL YZAGUIRRE SCHOOL FOR SUCCESS"</f>
        <v>RAUL YZAGUIRRE SCHOOL FOR SUCCESS</v>
      </c>
      <c r="D147" t="s">
        <v>11</v>
      </c>
      <c r="E147" t="s">
        <v>178</v>
      </c>
      <c r="F147" t="s">
        <v>18</v>
      </c>
      <c r="G147">
        <v>77017</v>
      </c>
      <c r="H147">
        <v>2006</v>
      </c>
      <c r="I147" s="1">
        <v>2975.4</v>
      </c>
      <c r="J147" s="1">
        <v>3306</v>
      </c>
      <c r="K147" s="1">
        <v>2975.4</v>
      </c>
    </row>
    <row r="148" spans="1:11" x14ac:dyDescent="0.35">
      <c r="A148">
        <v>525980</v>
      </c>
      <c r="B148">
        <v>1451010</v>
      </c>
      <c r="C148" t="str">
        <f>"RAUL YZAGUIRRE SCHOOL FOR SUCCESS"</f>
        <v>RAUL YZAGUIRRE SCHOOL FOR SUCCESS</v>
      </c>
      <c r="D148" t="s">
        <v>11</v>
      </c>
      <c r="E148" t="s">
        <v>178</v>
      </c>
      <c r="F148" t="s">
        <v>18</v>
      </c>
      <c r="G148">
        <v>77017</v>
      </c>
      <c r="H148">
        <v>2006</v>
      </c>
      <c r="I148" s="1">
        <v>0</v>
      </c>
      <c r="J148" s="1">
        <v>0</v>
      </c>
    </row>
    <row r="149" spans="1:11" x14ac:dyDescent="0.35">
      <c r="A149">
        <v>528368</v>
      </c>
      <c r="B149">
        <v>1480116</v>
      </c>
      <c r="C149" t="str">
        <f>"REICHER CATHOLIC HIGH SCHOOL"</f>
        <v>REICHER CATHOLIC HIGH SCHOOL</v>
      </c>
      <c r="D149" t="s">
        <v>11</v>
      </c>
      <c r="E149" t="s">
        <v>179</v>
      </c>
      <c r="F149" t="s">
        <v>180</v>
      </c>
      <c r="G149">
        <v>76708</v>
      </c>
      <c r="H149">
        <v>2006</v>
      </c>
      <c r="I149" s="1">
        <v>0</v>
      </c>
      <c r="J149" s="1">
        <v>0</v>
      </c>
    </row>
    <row r="150" spans="1:11" x14ac:dyDescent="0.35">
      <c r="A150">
        <v>536472</v>
      </c>
      <c r="B150">
        <v>1484411</v>
      </c>
      <c r="C150" t="str">
        <f>"REICHER CATHOLIC HIGH SCHOOL"</f>
        <v>REICHER CATHOLIC HIGH SCHOOL</v>
      </c>
      <c r="D150" t="s">
        <v>11</v>
      </c>
      <c r="E150" t="s">
        <v>179</v>
      </c>
      <c r="F150" t="s">
        <v>180</v>
      </c>
      <c r="G150">
        <v>76708</v>
      </c>
      <c r="H150">
        <v>2006</v>
      </c>
      <c r="I150" s="1">
        <v>2640</v>
      </c>
      <c r="J150" s="1">
        <v>6600</v>
      </c>
      <c r="K150" s="1">
        <v>2640</v>
      </c>
    </row>
    <row r="151" spans="1:11" x14ac:dyDescent="0.35">
      <c r="A151">
        <v>533017</v>
      </c>
      <c r="B151">
        <v>1473084</v>
      </c>
      <c r="C151" t="str">
        <f>"RESURRECTION SCHOOL"</f>
        <v>RESURRECTION SCHOOL</v>
      </c>
      <c r="D151" t="s">
        <v>11</v>
      </c>
      <c r="E151" t="s">
        <v>181</v>
      </c>
      <c r="F151" t="s">
        <v>18</v>
      </c>
      <c r="G151">
        <v>77020</v>
      </c>
      <c r="H151">
        <v>2006</v>
      </c>
      <c r="I151" s="1">
        <v>305.57</v>
      </c>
      <c r="J151" s="1">
        <v>381.96</v>
      </c>
      <c r="K151" s="1">
        <v>305.57</v>
      </c>
    </row>
    <row r="152" spans="1:11" x14ac:dyDescent="0.35">
      <c r="A152">
        <v>511747</v>
      </c>
      <c r="B152">
        <v>1476025</v>
      </c>
      <c r="C152" t="str">
        <f>"RICHARD MILBURN ACADEMY - AMARILLO"</f>
        <v>RICHARD MILBURN ACADEMY - AMARILLO</v>
      </c>
      <c r="D152" t="s">
        <v>11</v>
      </c>
      <c r="E152" t="s">
        <v>182</v>
      </c>
      <c r="F152" t="s">
        <v>183</v>
      </c>
      <c r="G152">
        <v>79109</v>
      </c>
      <c r="H152">
        <v>2006</v>
      </c>
      <c r="I152" s="1">
        <v>0</v>
      </c>
      <c r="J152" s="1">
        <v>0</v>
      </c>
    </row>
    <row r="153" spans="1:11" x14ac:dyDescent="0.35">
      <c r="A153">
        <v>511747</v>
      </c>
      <c r="B153">
        <v>1476711</v>
      </c>
      <c r="C153" t="str">
        <f>"RICHARD MILBURN ACADEMY - AMARILLO"</f>
        <v>RICHARD MILBURN ACADEMY - AMARILLO</v>
      </c>
      <c r="D153" t="s">
        <v>11</v>
      </c>
      <c r="E153" t="s">
        <v>182</v>
      </c>
      <c r="F153" t="s">
        <v>183</v>
      </c>
      <c r="G153">
        <v>79109</v>
      </c>
      <c r="H153">
        <v>2006</v>
      </c>
      <c r="I153" s="1">
        <v>0</v>
      </c>
      <c r="J153" s="1">
        <v>0</v>
      </c>
    </row>
    <row r="154" spans="1:11" x14ac:dyDescent="0.35">
      <c r="A154">
        <v>537879</v>
      </c>
      <c r="B154">
        <v>1489660</v>
      </c>
      <c r="C154" t="str">
        <f>"RICHARD MILBURN ACADEMY - AMARILLO"</f>
        <v>RICHARD MILBURN ACADEMY - AMARILLO</v>
      </c>
      <c r="D154" t="s">
        <v>11</v>
      </c>
      <c r="E154" t="s">
        <v>182</v>
      </c>
      <c r="F154" t="s">
        <v>183</v>
      </c>
      <c r="G154">
        <v>79109</v>
      </c>
      <c r="H154">
        <v>2006</v>
      </c>
      <c r="I154" s="1">
        <v>8055.36</v>
      </c>
      <c r="J154" s="1">
        <v>10069.200000000001</v>
      </c>
      <c r="K154" s="1">
        <v>6029.68</v>
      </c>
    </row>
    <row r="155" spans="1:11" x14ac:dyDescent="0.35">
      <c r="A155">
        <v>511747</v>
      </c>
      <c r="B155">
        <v>1475950</v>
      </c>
      <c r="C155" t="str">
        <f>"RICHARD MILBURN ACADEMY - AMARILLO"</f>
        <v>RICHARD MILBURN ACADEMY - AMARILLO</v>
      </c>
      <c r="D155" t="s">
        <v>11</v>
      </c>
      <c r="E155" t="s">
        <v>182</v>
      </c>
      <c r="F155" t="s">
        <v>183</v>
      </c>
      <c r="G155">
        <v>79109</v>
      </c>
      <c r="H155">
        <v>2006</v>
      </c>
      <c r="I155" s="1">
        <v>0</v>
      </c>
      <c r="J155" s="1">
        <v>0</v>
      </c>
    </row>
    <row r="156" spans="1:11" x14ac:dyDescent="0.35">
      <c r="A156">
        <v>516878</v>
      </c>
      <c r="B156">
        <v>1478012</v>
      </c>
      <c r="C156" t="str">
        <f>"RICHARD MILBURN ACADEMY - BEAUMONT"</f>
        <v>RICHARD MILBURN ACADEMY - BEAUMONT</v>
      </c>
      <c r="D156" t="s">
        <v>11</v>
      </c>
      <c r="E156" t="s">
        <v>184</v>
      </c>
      <c r="F156" t="s">
        <v>72</v>
      </c>
      <c r="G156">
        <v>77701</v>
      </c>
      <c r="H156">
        <v>2006</v>
      </c>
      <c r="I156" s="1">
        <v>0</v>
      </c>
      <c r="J156" s="1">
        <v>0</v>
      </c>
    </row>
    <row r="157" spans="1:11" x14ac:dyDescent="0.35">
      <c r="A157">
        <v>537921</v>
      </c>
      <c r="B157">
        <v>1489737</v>
      </c>
      <c r="C157" t="str">
        <f>"RICHARD MILBURN ACADEMY - BEAUMONT"</f>
        <v>RICHARD MILBURN ACADEMY - BEAUMONT</v>
      </c>
      <c r="D157" t="s">
        <v>11</v>
      </c>
      <c r="E157" t="s">
        <v>184</v>
      </c>
      <c r="F157" t="s">
        <v>72</v>
      </c>
      <c r="G157">
        <v>77701</v>
      </c>
      <c r="H157">
        <v>2006</v>
      </c>
      <c r="I157" s="1">
        <v>9062.2800000000007</v>
      </c>
      <c r="J157" s="1">
        <v>10069.200000000001</v>
      </c>
      <c r="K157" s="1">
        <v>8984.7900000000009</v>
      </c>
    </row>
    <row r="158" spans="1:11" x14ac:dyDescent="0.35">
      <c r="A158">
        <v>516878</v>
      </c>
      <c r="B158">
        <v>1477877</v>
      </c>
      <c r="C158" t="str">
        <f>"RICHARD MILBURN ACADEMY - BEAUMONT"</f>
        <v>RICHARD MILBURN ACADEMY - BEAUMONT</v>
      </c>
      <c r="D158" t="s">
        <v>11</v>
      </c>
      <c r="E158" t="s">
        <v>184</v>
      </c>
      <c r="F158" t="s">
        <v>72</v>
      </c>
      <c r="G158">
        <v>77701</v>
      </c>
      <c r="H158">
        <v>2006</v>
      </c>
      <c r="I158" s="1">
        <v>791.96</v>
      </c>
      <c r="J158" s="1">
        <v>879.96</v>
      </c>
    </row>
    <row r="159" spans="1:11" x14ac:dyDescent="0.35">
      <c r="A159">
        <v>517058</v>
      </c>
      <c r="B159">
        <v>1482933</v>
      </c>
      <c r="C159" t="str">
        <f>"RICHARD MILBURN ACADEMY - CORPUS CHRISTI"</f>
        <v>RICHARD MILBURN ACADEMY - CORPUS CHRISTI</v>
      </c>
      <c r="D159" t="s">
        <v>11</v>
      </c>
      <c r="E159" t="s">
        <v>185</v>
      </c>
      <c r="F159" t="s">
        <v>186</v>
      </c>
      <c r="G159">
        <v>78411</v>
      </c>
      <c r="H159">
        <v>2006</v>
      </c>
      <c r="I159" s="1">
        <v>2020</v>
      </c>
      <c r="J159" s="1">
        <v>2525</v>
      </c>
    </row>
    <row r="160" spans="1:11" x14ac:dyDescent="0.35">
      <c r="A160">
        <v>533409</v>
      </c>
      <c r="B160">
        <v>1474590</v>
      </c>
      <c r="C160" t="str">
        <f>"RICHARD MILBURN ACADEMY - CORPUS CHRISTI"</f>
        <v>RICHARD MILBURN ACADEMY - CORPUS CHRISTI</v>
      </c>
      <c r="D160" t="s">
        <v>11</v>
      </c>
      <c r="E160" t="s">
        <v>185</v>
      </c>
      <c r="F160" t="s">
        <v>186</v>
      </c>
      <c r="G160">
        <v>78411</v>
      </c>
      <c r="H160">
        <v>2006</v>
      </c>
      <c r="I160" s="1">
        <v>0</v>
      </c>
      <c r="J160" s="1">
        <v>0</v>
      </c>
    </row>
    <row r="161" spans="1:11" x14ac:dyDescent="0.35">
      <c r="A161">
        <v>537960</v>
      </c>
      <c r="B161">
        <v>1489801</v>
      </c>
      <c r="C161" t="str">
        <f>"RICHARD MILBURN ACADEMY - CORPUS CHRISTI"</f>
        <v>RICHARD MILBURN ACADEMY - CORPUS CHRISTI</v>
      </c>
      <c r="D161" t="s">
        <v>11</v>
      </c>
      <c r="E161" t="s">
        <v>185</v>
      </c>
      <c r="F161" t="s">
        <v>186</v>
      </c>
      <c r="G161">
        <v>78411</v>
      </c>
      <c r="H161">
        <v>2006</v>
      </c>
      <c r="I161" s="1">
        <v>6041.52</v>
      </c>
      <c r="J161" s="1">
        <v>10069.200000000001</v>
      </c>
      <c r="K161" s="1">
        <v>0</v>
      </c>
    </row>
    <row r="162" spans="1:11" x14ac:dyDescent="0.35">
      <c r="A162">
        <v>516199</v>
      </c>
      <c r="B162">
        <v>1480768</v>
      </c>
      <c r="C162" t="str">
        <f>"RICHARD MILBURN ACADEMY - LUBBOCK"</f>
        <v>RICHARD MILBURN ACADEMY - LUBBOCK</v>
      </c>
      <c r="D162" t="s">
        <v>11</v>
      </c>
      <c r="E162" t="s">
        <v>187</v>
      </c>
      <c r="F162" t="s">
        <v>23</v>
      </c>
      <c r="G162">
        <v>79410</v>
      </c>
      <c r="H162">
        <v>2006</v>
      </c>
      <c r="I162" s="1">
        <v>0</v>
      </c>
      <c r="J162" s="1">
        <v>0</v>
      </c>
    </row>
    <row r="163" spans="1:11" x14ac:dyDescent="0.35">
      <c r="A163">
        <v>516199</v>
      </c>
      <c r="B163">
        <v>1480668</v>
      </c>
      <c r="C163" t="str">
        <f>"RICHARD MILBURN ACADEMY - LUBBOCK"</f>
        <v>RICHARD MILBURN ACADEMY - LUBBOCK</v>
      </c>
      <c r="D163" t="s">
        <v>11</v>
      </c>
      <c r="E163" t="s">
        <v>187</v>
      </c>
      <c r="F163" t="s">
        <v>23</v>
      </c>
      <c r="G163">
        <v>79410</v>
      </c>
      <c r="H163">
        <v>2006</v>
      </c>
      <c r="I163" s="1">
        <v>4320</v>
      </c>
      <c r="J163" s="1">
        <v>5400</v>
      </c>
      <c r="K163" s="1">
        <v>4320</v>
      </c>
    </row>
    <row r="164" spans="1:11" x14ac:dyDescent="0.35">
      <c r="A164">
        <v>516199</v>
      </c>
      <c r="B164">
        <v>1490192</v>
      </c>
      <c r="C164" t="str">
        <f>"RICHARD MILBURN ACADEMY - LUBBOCK"</f>
        <v>RICHARD MILBURN ACADEMY - LUBBOCK</v>
      </c>
      <c r="D164" t="s">
        <v>11</v>
      </c>
      <c r="E164" t="s">
        <v>187</v>
      </c>
      <c r="F164" t="s">
        <v>23</v>
      </c>
      <c r="G164">
        <v>79410</v>
      </c>
      <c r="H164">
        <v>2006</v>
      </c>
      <c r="I164" s="1">
        <v>14582.4</v>
      </c>
      <c r="J164" s="1">
        <v>18228</v>
      </c>
      <c r="K164" s="1">
        <v>0</v>
      </c>
    </row>
    <row r="165" spans="1:11" x14ac:dyDescent="0.35">
      <c r="A165">
        <v>516670</v>
      </c>
      <c r="B165">
        <v>1483681</v>
      </c>
      <c r="C165" t="str">
        <f>"RICHARD MILBURN ACADEMY-FORT WORTH"</f>
        <v>RICHARD MILBURN ACADEMY-FORT WORTH</v>
      </c>
      <c r="D165" t="s">
        <v>11</v>
      </c>
      <c r="E165" t="s">
        <v>188</v>
      </c>
      <c r="F165" t="s">
        <v>189</v>
      </c>
      <c r="G165">
        <v>76116</v>
      </c>
      <c r="H165">
        <v>2006</v>
      </c>
      <c r="I165" s="1">
        <v>0</v>
      </c>
      <c r="J165" s="1">
        <v>0</v>
      </c>
    </row>
    <row r="166" spans="1:11" x14ac:dyDescent="0.35">
      <c r="A166">
        <v>538157</v>
      </c>
      <c r="B166">
        <v>1490388</v>
      </c>
      <c r="C166" t="str">
        <f>"RICHARD MILBURN ACADEMY-FORT WORTH"</f>
        <v>RICHARD MILBURN ACADEMY-FORT WORTH</v>
      </c>
      <c r="D166" t="s">
        <v>11</v>
      </c>
      <c r="E166" t="s">
        <v>188</v>
      </c>
      <c r="F166" t="s">
        <v>189</v>
      </c>
      <c r="G166">
        <v>76116</v>
      </c>
      <c r="H166">
        <v>2006</v>
      </c>
      <c r="I166" s="1">
        <v>12083.04</v>
      </c>
      <c r="J166" s="1">
        <v>20138.400000000001</v>
      </c>
      <c r="K166" s="1">
        <v>5989.87</v>
      </c>
    </row>
    <row r="167" spans="1:11" x14ac:dyDescent="0.35">
      <c r="A167">
        <v>516670</v>
      </c>
      <c r="B167">
        <v>1483535</v>
      </c>
      <c r="C167" t="str">
        <f>"RICHARD MILBURN ACADEMY-FORT WORTH"</f>
        <v>RICHARD MILBURN ACADEMY-FORT WORTH</v>
      </c>
      <c r="D167" t="s">
        <v>11</v>
      </c>
      <c r="E167" t="s">
        <v>188</v>
      </c>
      <c r="F167" t="s">
        <v>189</v>
      </c>
      <c r="G167">
        <v>76116</v>
      </c>
      <c r="H167">
        <v>2006</v>
      </c>
      <c r="I167" s="1">
        <v>449.35</v>
      </c>
      <c r="J167" s="1">
        <v>748.92</v>
      </c>
    </row>
    <row r="168" spans="1:11" x14ac:dyDescent="0.35">
      <c r="A168">
        <v>516755</v>
      </c>
      <c r="B168">
        <v>1486991</v>
      </c>
      <c r="C168" t="str">
        <f>"RICHARD MILBURN ACADEMY-ODESSA"</f>
        <v>RICHARD MILBURN ACADEMY-ODESSA</v>
      </c>
      <c r="D168" t="s">
        <v>11</v>
      </c>
      <c r="E168" t="s">
        <v>190</v>
      </c>
      <c r="F168" t="s">
        <v>191</v>
      </c>
      <c r="G168">
        <v>79761</v>
      </c>
      <c r="H168">
        <v>2006</v>
      </c>
      <c r="I168" s="1">
        <v>0</v>
      </c>
      <c r="J168" s="1">
        <v>0</v>
      </c>
    </row>
    <row r="169" spans="1:11" x14ac:dyDescent="0.35">
      <c r="A169">
        <v>537991</v>
      </c>
      <c r="B169">
        <v>1489912</v>
      </c>
      <c r="C169" t="str">
        <f>"RICHARD MILBURN ACADEMY-ODESSA"</f>
        <v>RICHARD MILBURN ACADEMY-ODESSA</v>
      </c>
      <c r="D169" t="s">
        <v>11</v>
      </c>
      <c r="E169" t="s">
        <v>190</v>
      </c>
      <c r="F169" t="s">
        <v>191</v>
      </c>
      <c r="G169">
        <v>79761</v>
      </c>
      <c r="H169">
        <v>2006</v>
      </c>
      <c r="I169" s="1">
        <v>8055.36</v>
      </c>
      <c r="J169" s="1">
        <v>10069.200000000001</v>
      </c>
      <c r="K169" s="1">
        <v>6593.59</v>
      </c>
    </row>
    <row r="170" spans="1:11" x14ac:dyDescent="0.35">
      <c r="A170">
        <v>538018</v>
      </c>
      <c r="B170">
        <v>1489989</v>
      </c>
      <c r="C170" t="str">
        <f>"RICHARD MILBURN ACADEMY-S. HOUSTON"</f>
        <v>RICHARD MILBURN ACADEMY-S. HOUSTON</v>
      </c>
      <c r="D170" t="s">
        <v>11</v>
      </c>
      <c r="E170" t="s">
        <v>192</v>
      </c>
      <c r="F170" t="s">
        <v>18</v>
      </c>
      <c r="G170">
        <v>77073</v>
      </c>
      <c r="H170">
        <v>2006</v>
      </c>
      <c r="I170" s="1">
        <v>9062.2800000000007</v>
      </c>
      <c r="J170" s="1">
        <v>10069.200000000001</v>
      </c>
      <c r="K170" s="1">
        <v>7461.89</v>
      </c>
    </row>
    <row r="171" spans="1:11" x14ac:dyDescent="0.35">
      <c r="A171">
        <v>517152</v>
      </c>
      <c r="B171">
        <v>1485971</v>
      </c>
      <c r="C171" t="str">
        <f>"RICHARD MILBURN ACADEMY-S. HOUSTON"</f>
        <v>RICHARD MILBURN ACADEMY-S. HOUSTON</v>
      </c>
      <c r="D171" t="s">
        <v>11</v>
      </c>
      <c r="E171" t="s">
        <v>192</v>
      </c>
      <c r="F171" t="s">
        <v>18</v>
      </c>
      <c r="G171">
        <v>77073</v>
      </c>
      <c r="H171">
        <v>2006</v>
      </c>
      <c r="I171" s="1">
        <v>0</v>
      </c>
      <c r="J171" s="1">
        <v>0</v>
      </c>
    </row>
    <row r="172" spans="1:11" x14ac:dyDescent="0.35">
      <c r="A172">
        <v>538135</v>
      </c>
      <c r="B172">
        <v>1490314</v>
      </c>
      <c r="C172" t="str">
        <f>"RICHARD MILBURN ACADEMY/MIDLAND"</f>
        <v>RICHARD MILBURN ACADEMY/MIDLAND</v>
      </c>
      <c r="D172" t="s">
        <v>11</v>
      </c>
      <c r="E172" t="s">
        <v>193</v>
      </c>
      <c r="F172" t="s">
        <v>194</v>
      </c>
      <c r="G172">
        <v>79703</v>
      </c>
      <c r="H172">
        <v>2006</v>
      </c>
      <c r="I172" s="1">
        <v>12083.04</v>
      </c>
      <c r="J172" s="1">
        <v>20138.400000000001</v>
      </c>
      <c r="K172" s="1">
        <v>4974.59</v>
      </c>
    </row>
    <row r="173" spans="1:11" x14ac:dyDescent="0.35">
      <c r="A173">
        <v>538054</v>
      </c>
      <c r="B173">
        <v>1490113</v>
      </c>
      <c r="C173" t="str">
        <f>"RICHARD MILLBURN ACADEMY KILLEEN"</f>
        <v>RICHARD MILLBURN ACADEMY KILLEEN</v>
      </c>
      <c r="D173" t="s">
        <v>11</v>
      </c>
      <c r="E173" t="s">
        <v>195</v>
      </c>
      <c r="F173" t="s">
        <v>196</v>
      </c>
      <c r="G173">
        <v>76541</v>
      </c>
      <c r="H173">
        <v>2006</v>
      </c>
      <c r="I173" s="1">
        <v>9101.76</v>
      </c>
      <c r="J173" s="1">
        <v>11377.2</v>
      </c>
      <c r="K173" s="1">
        <v>6435.49</v>
      </c>
    </row>
    <row r="174" spans="1:11" x14ac:dyDescent="0.35">
      <c r="A174">
        <v>523448</v>
      </c>
      <c r="B174">
        <v>1465971</v>
      </c>
      <c r="C174" t="str">
        <f>"RIO GRANDE MARINE INSTITUTE"</f>
        <v>RIO GRANDE MARINE INSTITUTE</v>
      </c>
      <c r="D174" t="s">
        <v>11</v>
      </c>
      <c r="E174" t="s">
        <v>197</v>
      </c>
      <c r="F174" t="s">
        <v>198</v>
      </c>
      <c r="G174">
        <v>78566</v>
      </c>
      <c r="H174">
        <v>2006</v>
      </c>
      <c r="I174" s="1">
        <v>2160</v>
      </c>
      <c r="J174" s="1">
        <v>2400</v>
      </c>
      <c r="K174" s="1">
        <v>1800</v>
      </c>
    </row>
    <row r="175" spans="1:11" x14ac:dyDescent="0.35">
      <c r="A175">
        <v>492476</v>
      </c>
      <c r="B175">
        <v>1360614</v>
      </c>
      <c r="C175" t="str">
        <f>"RIVER OAKS BAPTIST SCHOOL"</f>
        <v>RIVER OAKS BAPTIST SCHOOL</v>
      </c>
      <c r="D175" t="s">
        <v>11</v>
      </c>
      <c r="E175" t="s">
        <v>199</v>
      </c>
      <c r="F175" t="s">
        <v>18</v>
      </c>
      <c r="G175">
        <v>77027</v>
      </c>
      <c r="H175">
        <v>2006</v>
      </c>
      <c r="I175" s="1">
        <v>480</v>
      </c>
      <c r="J175" s="1">
        <v>2400</v>
      </c>
      <c r="K175" s="1">
        <v>228.31</v>
      </c>
    </row>
    <row r="176" spans="1:11" x14ac:dyDescent="0.35">
      <c r="A176">
        <v>533040</v>
      </c>
      <c r="B176">
        <v>1473180</v>
      </c>
      <c r="C176" t="str">
        <f>"SACRED HEART ELEMENTARY SCHOOL"</f>
        <v>SACRED HEART ELEMENTARY SCHOOL</v>
      </c>
      <c r="D176" t="s">
        <v>11</v>
      </c>
      <c r="E176" t="s">
        <v>200</v>
      </c>
      <c r="F176" t="s">
        <v>201</v>
      </c>
      <c r="G176">
        <v>77532</v>
      </c>
      <c r="H176">
        <v>2006</v>
      </c>
      <c r="I176" s="1">
        <v>448.99</v>
      </c>
      <c r="J176" s="1">
        <v>1122.48</v>
      </c>
      <c r="K176" s="1">
        <v>448.99</v>
      </c>
    </row>
    <row r="177" spans="1:11" x14ac:dyDescent="0.35">
      <c r="A177">
        <v>502900</v>
      </c>
      <c r="B177">
        <v>1382448</v>
      </c>
      <c r="C177" t="str">
        <f>"SACRED HEART ELEMENTARY SCHOOL"</f>
        <v>SACRED HEART ELEMENTARY SCHOOL</v>
      </c>
      <c r="D177" t="s">
        <v>11</v>
      </c>
      <c r="E177" t="s">
        <v>202</v>
      </c>
      <c r="F177" t="s">
        <v>203</v>
      </c>
      <c r="G177">
        <v>78382</v>
      </c>
      <c r="H177">
        <v>2006</v>
      </c>
      <c r="I177" s="1">
        <v>1343.58</v>
      </c>
      <c r="J177" s="1">
        <v>1919.4</v>
      </c>
      <c r="K177" s="1">
        <v>1231.56</v>
      </c>
    </row>
    <row r="178" spans="1:11" x14ac:dyDescent="0.35">
      <c r="A178">
        <v>533030</v>
      </c>
      <c r="B178">
        <v>1473144</v>
      </c>
      <c r="C178" t="str">
        <f>"SACRED HEART ELEMENTARY SCHOOL"</f>
        <v>SACRED HEART ELEMENTARY SCHOOL</v>
      </c>
      <c r="D178" t="s">
        <v>11</v>
      </c>
      <c r="E178" t="s">
        <v>204</v>
      </c>
      <c r="F178" t="s">
        <v>205</v>
      </c>
      <c r="G178">
        <v>77301</v>
      </c>
      <c r="H178">
        <v>2006</v>
      </c>
      <c r="I178" s="1">
        <v>278.16000000000003</v>
      </c>
      <c r="J178" s="1">
        <v>695.4</v>
      </c>
      <c r="K178" s="1">
        <v>278.16000000000003</v>
      </c>
    </row>
    <row r="179" spans="1:11" x14ac:dyDescent="0.35">
      <c r="A179">
        <v>524097</v>
      </c>
      <c r="B179">
        <v>1443452</v>
      </c>
      <c r="C179" t="str">
        <f>"SAN MARCOS CONS INDEP SCH DIST"</f>
        <v>SAN MARCOS CONS INDEP SCH DIST</v>
      </c>
      <c r="D179" t="s">
        <v>11</v>
      </c>
      <c r="E179" t="s">
        <v>206</v>
      </c>
      <c r="F179" t="s">
        <v>207</v>
      </c>
      <c r="G179">
        <v>78666</v>
      </c>
      <c r="H179">
        <v>2006</v>
      </c>
      <c r="I179" s="1">
        <v>5952</v>
      </c>
      <c r="J179" s="1">
        <v>7440</v>
      </c>
      <c r="K179" s="1">
        <v>4464</v>
      </c>
    </row>
    <row r="180" spans="1:11" x14ac:dyDescent="0.35">
      <c r="A180">
        <v>507959</v>
      </c>
      <c r="B180">
        <v>1395930</v>
      </c>
      <c r="C180" t="str">
        <f>"SAN MARCOS HIGH SCHOOL"</f>
        <v>SAN MARCOS HIGH SCHOOL</v>
      </c>
      <c r="D180" t="s">
        <v>11</v>
      </c>
      <c r="E180" t="s">
        <v>208</v>
      </c>
      <c r="F180" t="s">
        <v>207</v>
      </c>
      <c r="G180">
        <v>78666</v>
      </c>
      <c r="H180">
        <v>2006</v>
      </c>
      <c r="I180" s="1">
        <v>0</v>
      </c>
      <c r="J180" s="1">
        <v>0</v>
      </c>
    </row>
    <row r="181" spans="1:11" x14ac:dyDescent="0.35">
      <c r="A181">
        <v>537194</v>
      </c>
      <c r="B181">
        <v>1487526</v>
      </c>
      <c r="C181" t="str">
        <f>"SCHOOL OF EXCELLENCE IN EDUCATION CHARTER SCHOOL"</f>
        <v>SCHOOL OF EXCELLENCE IN EDUCATION CHARTER SCHOOL</v>
      </c>
      <c r="D181" t="s">
        <v>11</v>
      </c>
      <c r="E181" t="s">
        <v>209</v>
      </c>
      <c r="F181" t="s">
        <v>28</v>
      </c>
      <c r="G181">
        <v>78213</v>
      </c>
      <c r="H181">
        <v>2006</v>
      </c>
      <c r="I181" s="1">
        <v>39557.480000000003</v>
      </c>
      <c r="J181" s="1">
        <v>43952.76</v>
      </c>
    </row>
    <row r="182" spans="1:11" x14ac:dyDescent="0.35">
      <c r="A182">
        <v>536431</v>
      </c>
      <c r="B182">
        <v>1486067</v>
      </c>
      <c r="C182" t="str">
        <f>"SCHOOL OF EXCELLENCE IN EDUCATION CHARTER SCHOOL-ALPHA 2 CAMPUS"</f>
        <v>SCHOOL OF EXCELLENCE IN EDUCATION CHARTER SCHOOL-ALPHA 2 CAMPUS</v>
      </c>
      <c r="D182" t="s">
        <v>11</v>
      </c>
      <c r="E182" t="s">
        <v>210</v>
      </c>
      <c r="F182" t="s">
        <v>28</v>
      </c>
      <c r="G182">
        <v>78216</v>
      </c>
      <c r="H182">
        <v>2006</v>
      </c>
      <c r="I182" s="1">
        <v>8726.4</v>
      </c>
      <c r="J182" s="1">
        <v>9696</v>
      </c>
    </row>
    <row r="183" spans="1:11" x14ac:dyDescent="0.35">
      <c r="A183">
        <v>536918</v>
      </c>
      <c r="B183">
        <v>1485920</v>
      </c>
      <c r="C183" t="str">
        <f>"SER-NINOS CHARTER SCHOOL"</f>
        <v>SER-NINOS CHARTER SCHOOL</v>
      </c>
      <c r="D183" t="s">
        <v>11</v>
      </c>
      <c r="E183" t="s">
        <v>211</v>
      </c>
      <c r="F183" t="s">
        <v>18</v>
      </c>
      <c r="G183">
        <v>77081</v>
      </c>
      <c r="H183">
        <v>2006</v>
      </c>
      <c r="I183" s="1">
        <v>7376.4</v>
      </c>
      <c r="J183" s="1">
        <v>8196</v>
      </c>
      <c r="K183" s="1">
        <v>7376.4</v>
      </c>
    </row>
    <row r="184" spans="1:11" x14ac:dyDescent="0.35">
      <c r="A184">
        <v>493755</v>
      </c>
      <c r="B184">
        <v>1367484</v>
      </c>
      <c r="C184" t="str">
        <f>"SOUTHLAND ISD"</f>
        <v>SOUTHLAND ISD</v>
      </c>
      <c r="D184" t="s">
        <v>11</v>
      </c>
      <c r="E184" t="s">
        <v>212</v>
      </c>
      <c r="F184" t="s">
        <v>213</v>
      </c>
      <c r="G184">
        <v>79364</v>
      </c>
      <c r="H184">
        <v>2006</v>
      </c>
      <c r="I184" s="1">
        <v>5400</v>
      </c>
      <c r="J184" s="1">
        <v>6000</v>
      </c>
      <c r="K184" s="1">
        <v>5400</v>
      </c>
    </row>
    <row r="185" spans="1:11" x14ac:dyDescent="0.35">
      <c r="A185">
        <v>530195</v>
      </c>
      <c r="B185">
        <v>1462485</v>
      </c>
      <c r="C185" t="str">
        <f>"ST  CECILIA CATHOLIC SCHOOL"</f>
        <v>ST  CECILIA CATHOLIC SCHOOL</v>
      </c>
      <c r="D185" t="s">
        <v>11</v>
      </c>
      <c r="E185" t="s">
        <v>214</v>
      </c>
      <c r="F185" t="s">
        <v>13</v>
      </c>
      <c r="G185">
        <v>75208</v>
      </c>
      <c r="H185">
        <v>2006</v>
      </c>
      <c r="I185" s="1">
        <v>923.4</v>
      </c>
      <c r="J185" s="1">
        <v>1539</v>
      </c>
      <c r="K185" s="1">
        <v>923.4</v>
      </c>
    </row>
    <row r="186" spans="1:11" x14ac:dyDescent="0.35">
      <c r="A186">
        <v>530195</v>
      </c>
      <c r="B186">
        <v>1635087</v>
      </c>
      <c r="C186" t="str">
        <f>"ST  CECILIA CATHOLIC SCHOOL"</f>
        <v>ST  CECILIA CATHOLIC SCHOOL</v>
      </c>
      <c r="D186" t="s">
        <v>11</v>
      </c>
      <c r="E186" t="s">
        <v>214</v>
      </c>
      <c r="F186" t="s">
        <v>13</v>
      </c>
      <c r="G186">
        <v>75208</v>
      </c>
      <c r="H186">
        <v>2006</v>
      </c>
      <c r="I186" s="1">
        <v>307.8</v>
      </c>
      <c r="J186" s="1">
        <v>513</v>
      </c>
      <c r="K186" s="1">
        <v>307.8</v>
      </c>
    </row>
    <row r="187" spans="1:11" x14ac:dyDescent="0.35">
      <c r="A187">
        <v>533053</v>
      </c>
      <c r="B187">
        <v>1473246</v>
      </c>
      <c r="C187" t="str">
        <f>"ST AMBROSE SCHOOL"</f>
        <v>ST AMBROSE SCHOOL</v>
      </c>
      <c r="D187" t="s">
        <v>11</v>
      </c>
      <c r="E187" t="s">
        <v>215</v>
      </c>
      <c r="F187" t="s">
        <v>18</v>
      </c>
      <c r="G187">
        <v>77092</v>
      </c>
      <c r="H187">
        <v>2006</v>
      </c>
      <c r="I187" s="1">
        <v>907.2</v>
      </c>
      <c r="J187" s="1">
        <v>2268</v>
      </c>
      <c r="K187" s="1">
        <v>907.2</v>
      </c>
    </row>
    <row r="188" spans="1:11" x14ac:dyDescent="0.35">
      <c r="A188">
        <v>533068</v>
      </c>
      <c r="B188">
        <v>1473290</v>
      </c>
      <c r="C188" t="str">
        <f>"ST ANNE CATHOLIC ELEM SCHOOL"</f>
        <v>ST ANNE CATHOLIC ELEM SCHOOL</v>
      </c>
      <c r="D188" t="s">
        <v>11</v>
      </c>
      <c r="E188" t="s">
        <v>216</v>
      </c>
      <c r="F188" t="s">
        <v>217</v>
      </c>
      <c r="G188">
        <v>77375</v>
      </c>
      <c r="H188">
        <v>2006</v>
      </c>
      <c r="I188" s="1">
        <v>327.60000000000002</v>
      </c>
      <c r="J188" s="1">
        <v>819</v>
      </c>
      <c r="K188" s="1">
        <v>327.60000000000002</v>
      </c>
    </row>
    <row r="189" spans="1:11" x14ac:dyDescent="0.35">
      <c r="A189">
        <v>528731</v>
      </c>
      <c r="B189">
        <v>1459617</v>
      </c>
      <c r="C189" t="str">
        <f>"ST ANTHONY CATHEDRAL SCHOOL"</f>
        <v>ST ANTHONY CATHEDRAL SCHOOL</v>
      </c>
      <c r="D189" t="s">
        <v>11</v>
      </c>
      <c r="E189" t="s">
        <v>218</v>
      </c>
      <c r="F189" t="s">
        <v>72</v>
      </c>
      <c r="G189">
        <v>77701</v>
      </c>
      <c r="H189">
        <v>2006</v>
      </c>
      <c r="I189" s="1">
        <v>264</v>
      </c>
      <c r="J189" s="1">
        <v>660</v>
      </c>
    </row>
    <row r="190" spans="1:11" x14ac:dyDescent="0.35">
      <c r="A190">
        <v>528731</v>
      </c>
      <c r="B190">
        <v>1459475</v>
      </c>
      <c r="C190" t="str">
        <f>"ST ANTHONY CATHEDRAL SCHOOL"</f>
        <v>ST ANTHONY CATHEDRAL SCHOOL</v>
      </c>
      <c r="D190" t="s">
        <v>11</v>
      </c>
      <c r="E190" t="s">
        <v>218</v>
      </c>
      <c r="F190" t="s">
        <v>72</v>
      </c>
      <c r="G190">
        <v>77701</v>
      </c>
      <c r="H190">
        <v>2006</v>
      </c>
      <c r="I190" s="1">
        <v>408</v>
      </c>
      <c r="J190" s="1">
        <v>1020</v>
      </c>
    </row>
    <row r="191" spans="1:11" x14ac:dyDescent="0.35">
      <c r="A191">
        <v>533075</v>
      </c>
      <c r="B191">
        <v>1473310</v>
      </c>
      <c r="C191" t="str">
        <f>"ST ANTHONY OF PADUA SCHOOL"</f>
        <v>ST ANTHONY OF PADUA SCHOOL</v>
      </c>
      <c r="D191" t="s">
        <v>11</v>
      </c>
      <c r="E191" t="s">
        <v>219</v>
      </c>
      <c r="F191" t="s">
        <v>220</v>
      </c>
      <c r="G191">
        <v>77382</v>
      </c>
      <c r="H191">
        <v>2006</v>
      </c>
      <c r="I191" s="1">
        <v>132</v>
      </c>
      <c r="J191" s="1">
        <v>660</v>
      </c>
      <c r="K191" s="1">
        <v>132</v>
      </c>
    </row>
    <row r="192" spans="1:11" x14ac:dyDescent="0.35">
      <c r="A192">
        <v>527507</v>
      </c>
      <c r="B192">
        <v>1454307</v>
      </c>
      <c r="C192" t="str">
        <f>"ST ANTHONY SCHOOL"</f>
        <v>ST ANTHONY SCHOOL</v>
      </c>
      <c r="D192" t="s">
        <v>11</v>
      </c>
      <c r="E192" t="s">
        <v>221</v>
      </c>
      <c r="F192" t="s">
        <v>28</v>
      </c>
      <c r="G192">
        <v>78212</v>
      </c>
      <c r="H192">
        <v>2006</v>
      </c>
      <c r="I192" s="1">
        <v>177.6</v>
      </c>
      <c r="J192" s="1">
        <v>444</v>
      </c>
      <c r="K192" s="1">
        <v>121.23</v>
      </c>
    </row>
    <row r="193" spans="1:11" x14ac:dyDescent="0.35">
      <c r="A193">
        <v>527507</v>
      </c>
      <c r="B193">
        <v>1454287</v>
      </c>
      <c r="C193" t="str">
        <f>"ST ANTHONY SCHOOL"</f>
        <v>ST ANTHONY SCHOOL</v>
      </c>
      <c r="D193" t="s">
        <v>11</v>
      </c>
      <c r="E193" t="s">
        <v>221</v>
      </c>
      <c r="F193" t="s">
        <v>28</v>
      </c>
      <c r="G193">
        <v>78212</v>
      </c>
      <c r="H193">
        <v>2006</v>
      </c>
      <c r="I193" s="1">
        <v>1094.8800000000001</v>
      </c>
      <c r="J193" s="1">
        <v>2737.2</v>
      </c>
      <c r="K193" s="1">
        <v>1094.8800000000001</v>
      </c>
    </row>
    <row r="194" spans="1:11" x14ac:dyDescent="0.35">
      <c r="A194">
        <v>507713</v>
      </c>
      <c r="B194">
        <v>1411142</v>
      </c>
      <c r="C194" t="str">
        <f>"ST ANTHONY SCHOOL"</f>
        <v>ST ANTHONY SCHOOL</v>
      </c>
      <c r="D194" t="s">
        <v>11</v>
      </c>
      <c r="E194" t="s">
        <v>222</v>
      </c>
      <c r="F194" t="s">
        <v>223</v>
      </c>
      <c r="G194">
        <v>78550</v>
      </c>
      <c r="H194">
        <v>2006</v>
      </c>
      <c r="I194" s="1">
        <v>504</v>
      </c>
      <c r="J194" s="1">
        <v>840</v>
      </c>
    </row>
    <row r="195" spans="1:11" x14ac:dyDescent="0.35">
      <c r="A195">
        <v>496298</v>
      </c>
      <c r="B195">
        <v>1378682</v>
      </c>
      <c r="C195" t="str">
        <f>"ST AUGUSTINE CATHOLIC SCHOOL"</f>
        <v>ST AUGUSTINE CATHOLIC SCHOOL</v>
      </c>
      <c r="D195" t="s">
        <v>11</v>
      </c>
      <c r="E195" t="s">
        <v>224</v>
      </c>
      <c r="F195" t="s">
        <v>18</v>
      </c>
      <c r="G195">
        <v>77017</v>
      </c>
      <c r="H195">
        <v>2006</v>
      </c>
      <c r="I195" s="1">
        <v>491.4</v>
      </c>
      <c r="J195" s="1">
        <v>819</v>
      </c>
    </row>
    <row r="196" spans="1:11" x14ac:dyDescent="0.35">
      <c r="A196">
        <v>534330</v>
      </c>
      <c r="B196">
        <v>1477454</v>
      </c>
      <c r="C196" t="str">
        <f>"ST AUGUSTINE JR SR HIGH SCHOOL"</f>
        <v>ST AUGUSTINE JR SR HIGH SCHOOL</v>
      </c>
      <c r="D196" t="s">
        <v>11</v>
      </c>
      <c r="E196" t="s">
        <v>225</v>
      </c>
      <c r="F196" t="s">
        <v>76</v>
      </c>
      <c r="G196">
        <v>78040</v>
      </c>
      <c r="H196">
        <v>2006</v>
      </c>
      <c r="I196" s="1">
        <v>599.70000000000005</v>
      </c>
      <c r="J196" s="1">
        <v>1199.4000000000001</v>
      </c>
    </row>
    <row r="197" spans="1:11" x14ac:dyDescent="0.35">
      <c r="A197">
        <v>534330</v>
      </c>
      <c r="B197">
        <v>1477412</v>
      </c>
      <c r="C197" t="str">
        <f>"ST AUGUSTINE JR SR HIGH SCHOOL"</f>
        <v>ST AUGUSTINE JR SR HIGH SCHOOL</v>
      </c>
      <c r="D197" t="s">
        <v>11</v>
      </c>
      <c r="E197" t="s">
        <v>225</v>
      </c>
      <c r="F197" t="s">
        <v>76</v>
      </c>
      <c r="G197">
        <v>78040</v>
      </c>
      <c r="H197">
        <v>2006</v>
      </c>
      <c r="I197" s="1">
        <v>2039.7</v>
      </c>
      <c r="J197" s="1">
        <v>4079.4</v>
      </c>
    </row>
    <row r="198" spans="1:11" x14ac:dyDescent="0.35">
      <c r="A198">
        <v>522667</v>
      </c>
      <c r="B198">
        <v>1439296</v>
      </c>
      <c r="C198" t="str">
        <f>"ST BERNARD OF CLAIRVAUX SCHOOL"</f>
        <v>ST BERNARD OF CLAIRVAUX SCHOOL</v>
      </c>
      <c r="D198" t="s">
        <v>11</v>
      </c>
      <c r="E198" t="s">
        <v>226</v>
      </c>
      <c r="F198" t="s">
        <v>13</v>
      </c>
      <c r="G198">
        <v>75218</v>
      </c>
      <c r="H198">
        <v>2006</v>
      </c>
      <c r="I198" s="1">
        <v>761.9</v>
      </c>
      <c r="J198" s="1">
        <v>1269.8399999999999</v>
      </c>
      <c r="K198" s="1">
        <v>587.54</v>
      </c>
    </row>
    <row r="199" spans="1:11" x14ac:dyDescent="0.35">
      <c r="A199">
        <v>533078</v>
      </c>
      <c r="B199">
        <v>1473321</v>
      </c>
      <c r="C199" t="str">
        <f>"ST CATHERINE MONTESSORI SCHOOL"</f>
        <v>ST CATHERINE MONTESSORI SCHOOL</v>
      </c>
      <c r="D199" t="s">
        <v>11</v>
      </c>
      <c r="E199" t="s">
        <v>227</v>
      </c>
      <c r="F199" t="s">
        <v>18</v>
      </c>
      <c r="G199">
        <v>77054</v>
      </c>
      <c r="H199">
        <v>2006</v>
      </c>
      <c r="I199" s="1">
        <v>1675.2</v>
      </c>
      <c r="J199" s="1">
        <v>4188</v>
      </c>
      <c r="K199" s="1">
        <v>1675.2</v>
      </c>
    </row>
    <row r="200" spans="1:11" x14ac:dyDescent="0.35">
      <c r="A200">
        <v>533085</v>
      </c>
      <c r="B200">
        <v>1473335</v>
      </c>
      <c r="C200" t="str">
        <f>"ST CECILIA SCHOOL"</f>
        <v>ST CECILIA SCHOOL</v>
      </c>
      <c r="D200" t="s">
        <v>11</v>
      </c>
      <c r="E200" t="s">
        <v>228</v>
      </c>
      <c r="F200" t="s">
        <v>18</v>
      </c>
      <c r="G200">
        <v>77024</v>
      </c>
      <c r="H200">
        <v>2006</v>
      </c>
      <c r="I200" s="1">
        <v>963.91</v>
      </c>
      <c r="J200" s="1">
        <v>4819.5600000000004</v>
      </c>
      <c r="K200" s="1">
        <v>963.91</v>
      </c>
    </row>
    <row r="201" spans="1:11" x14ac:dyDescent="0.35">
      <c r="A201">
        <v>527570</v>
      </c>
      <c r="B201">
        <v>1454569</v>
      </c>
      <c r="C201" t="str">
        <f>"ST CECILIA'S SCHOOL"</f>
        <v>ST CECILIA'S SCHOOL</v>
      </c>
      <c r="D201" t="s">
        <v>11</v>
      </c>
      <c r="E201" t="s">
        <v>229</v>
      </c>
      <c r="F201" t="s">
        <v>28</v>
      </c>
      <c r="G201">
        <v>78210</v>
      </c>
      <c r="H201">
        <v>2006</v>
      </c>
      <c r="I201" s="1">
        <v>1432.8</v>
      </c>
      <c r="J201" s="1">
        <v>2388</v>
      </c>
      <c r="K201" s="1">
        <v>1432.8</v>
      </c>
    </row>
    <row r="202" spans="1:11" x14ac:dyDescent="0.35">
      <c r="A202">
        <v>533087</v>
      </c>
      <c r="B202">
        <v>1473360</v>
      </c>
      <c r="C202" t="str">
        <f>"ST CHARLES BORROMEO SCHOOL"</f>
        <v>ST CHARLES BORROMEO SCHOOL</v>
      </c>
      <c r="D202" t="s">
        <v>11</v>
      </c>
      <c r="E202" t="s">
        <v>230</v>
      </c>
      <c r="F202" t="s">
        <v>18</v>
      </c>
      <c r="G202">
        <v>77022</v>
      </c>
      <c r="H202">
        <v>2006</v>
      </c>
      <c r="I202" s="1">
        <v>604.79999999999995</v>
      </c>
      <c r="J202" s="1">
        <v>1008</v>
      </c>
      <c r="K202" s="1">
        <v>604.79999999999995</v>
      </c>
    </row>
    <row r="203" spans="1:11" x14ac:dyDescent="0.35">
      <c r="A203">
        <v>533092</v>
      </c>
      <c r="B203">
        <v>1473377</v>
      </c>
      <c r="C203" t="str">
        <f>"ST CHRISTOPHER SCHOOL"</f>
        <v>ST CHRISTOPHER SCHOOL</v>
      </c>
      <c r="D203" t="s">
        <v>11</v>
      </c>
      <c r="E203" t="s">
        <v>231</v>
      </c>
      <c r="F203" t="s">
        <v>18</v>
      </c>
      <c r="G203">
        <v>77017</v>
      </c>
      <c r="H203">
        <v>2006</v>
      </c>
      <c r="I203" s="1">
        <v>863.46</v>
      </c>
      <c r="J203" s="1">
        <v>959.4</v>
      </c>
      <c r="K203" s="1">
        <v>0</v>
      </c>
    </row>
    <row r="204" spans="1:11" x14ac:dyDescent="0.35">
      <c r="A204">
        <v>533096</v>
      </c>
      <c r="B204">
        <v>1473397</v>
      </c>
      <c r="C204" t="str">
        <f>"ST CLAIRE OF ASSISI"</f>
        <v>ST CLAIRE OF ASSISI</v>
      </c>
      <c r="D204" t="s">
        <v>11</v>
      </c>
      <c r="E204" t="s">
        <v>232</v>
      </c>
      <c r="F204" t="s">
        <v>18</v>
      </c>
      <c r="G204">
        <v>77059</v>
      </c>
      <c r="H204">
        <v>2006</v>
      </c>
      <c r="I204" s="1">
        <v>254.74</v>
      </c>
      <c r="J204" s="1">
        <v>636.84</v>
      </c>
      <c r="K204" s="1">
        <v>0</v>
      </c>
    </row>
    <row r="205" spans="1:11" x14ac:dyDescent="0.35">
      <c r="A205">
        <v>533099</v>
      </c>
      <c r="B205">
        <v>1473414</v>
      </c>
      <c r="C205" t="str">
        <f>"ST EDWARD SCHOOL"</f>
        <v>ST EDWARD SCHOOL</v>
      </c>
      <c r="D205" t="s">
        <v>11</v>
      </c>
      <c r="E205" t="s">
        <v>233</v>
      </c>
      <c r="F205" t="s">
        <v>234</v>
      </c>
      <c r="G205">
        <v>77389</v>
      </c>
      <c r="H205">
        <v>2006</v>
      </c>
      <c r="I205" s="1">
        <v>760.27</v>
      </c>
      <c r="J205" s="1">
        <v>1900.68</v>
      </c>
      <c r="K205" s="1">
        <v>562.22</v>
      </c>
    </row>
    <row r="206" spans="1:11" x14ac:dyDescent="0.35">
      <c r="A206">
        <v>533100</v>
      </c>
      <c r="B206">
        <v>1473427</v>
      </c>
      <c r="C206" t="str">
        <f>"ST ELIZABETH ANN SETON SCHOOL"</f>
        <v>ST ELIZABETH ANN SETON SCHOOL</v>
      </c>
      <c r="D206" t="s">
        <v>11</v>
      </c>
      <c r="E206" t="s">
        <v>235</v>
      </c>
      <c r="F206" t="s">
        <v>18</v>
      </c>
      <c r="G206">
        <v>77084</v>
      </c>
      <c r="H206">
        <v>2006</v>
      </c>
      <c r="I206" s="1">
        <v>567.07000000000005</v>
      </c>
      <c r="J206" s="1">
        <v>1417.68</v>
      </c>
      <c r="K206" s="1">
        <v>431.85</v>
      </c>
    </row>
    <row r="207" spans="1:11" x14ac:dyDescent="0.35">
      <c r="A207">
        <v>533106</v>
      </c>
      <c r="B207">
        <v>1473464</v>
      </c>
      <c r="C207" t="str">
        <f>"ST FRANCIS OF ASSISI SCHOOL"</f>
        <v>ST FRANCIS OF ASSISI SCHOOL</v>
      </c>
      <c r="D207" t="s">
        <v>11</v>
      </c>
      <c r="E207" t="s">
        <v>236</v>
      </c>
      <c r="F207" t="s">
        <v>18</v>
      </c>
      <c r="G207">
        <v>77026</v>
      </c>
      <c r="H207">
        <v>2006</v>
      </c>
      <c r="I207" s="1">
        <v>373.41</v>
      </c>
      <c r="J207" s="1">
        <v>414.9</v>
      </c>
      <c r="K207" s="1">
        <v>373.41</v>
      </c>
    </row>
    <row r="208" spans="1:11" x14ac:dyDescent="0.35">
      <c r="A208">
        <v>533109</v>
      </c>
      <c r="B208">
        <v>1473472</v>
      </c>
      <c r="C208" t="str">
        <f>"ST HELEN SCHOOL"</f>
        <v>ST HELEN SCHOOL</v>
      </c>
      <c r="D208" t="s">
        <v>11</v>
      </c>
      <c r="E208" t="s">
        <v>237</v>
      </c>
      <c r="F208" t="s">
        <v>238</v>
      </c>
      <c r="G208">
        <v>77581</v>
      </c>
      <c r="H208">
        <v>2006</v>
      </c>
      <c r="I208" s="1">
        <v>249.65</v>
      </c>
      <c r="J208" s="1">
        <v>624.12</v>
      </c>
      <c r="K208" s="1">
        <v>203.61</v>
      </c>
    </row>
    <row r="209" spans="1:11" x14ac:dyDescent="0.35">
      <c r="A209">
        <v>533113</v>
      </c>
      <c r="B209">
        <v>1473483</v>
      </c>
      <c r="C209" t="str">
        <f>"ST JEROME SCHOOL"</f>
        <v>ST JEROME SCHOOL</v>
      </c>
      <c r="D209" t="s">
        <v>11</v>
      </c>
      <c r="E209" t="s">
        <v>239</v>
      </c>
      <c r="F209" t="s">
        <v>18</v>
      </c>
      <c r="G209">
        <v>77080</v>
      </c>
      <c r="H209">
        <v>2006</v>
      </c>
      <c r="I209" s="1">
        <v>1422.9</v>
      </c>
      <c r="J209" s="1">
        <v>2845.8</v>
      </c>
      <c r="K209" s="1">
        <v>1422.9</v>
      </c>
    </row>
    <row r="210" spans="1:11" x14ac:dyDescent="0.35">
      <c r="A210">
        <v>527542</v>
      </c>
      <c r="B210">
        <v>1457891</v>
      </c>
      <c r="C210" t="str">
        <f>"ST JOHN BERCHMANS SCHOOL"</f>
        <v>ST JOHN BERCHMANS SCHOOL</v>
      </c>
      <c r="D210" t="s">
        <v>11</v>
      </c>
      <c r="E210" t="s">
        <v>240</v>
      </c>
      <c r="F210" t="s">
        <v>28</v>
      </c>
      <c r="G210">
        <v>78226</v>
      </c>
      <c r="H210">
        <v>2006</v>
      </c>
      <c r="I210" s="1">
        <v>4512</v>
      </c>
      <c r="J210" s="1">
        <v>5640</v>
      </c>
      <c r="K210" s="1">
        <v>3936</v>
      </c>
    </row>
    <row r="211" spans="1:11" x14ac:dyDescent="0.35">
      <c r="A211">
        <v>528883</v>
      </c>
      <c r="B211">
        <v>1461973</v>
      </c>
      <c r="C211" t="str">
        <f>"ST JOHN BOSCO SCHOOL"</f>
        <v>ST JOHN BOSCO SCHOOL</v>
      </c>
      <c r="D211" t="s">
        <v>11</v>
      </c>
      <c r="E211" t="s">
        <v>241</v>
      </c>
      <c r="F211" t="s">
        <v>28</v>
      </c>
      <c r="G211">
        <v>78237</v>
      </c>
      <c r="H211">
        <v>2006</v>
      </c>
      <c r="I211" s="1">
        <v>13451.78</v>
      </c>
      <c r="J211" s="1">
        <v>16814.72</v>
      </c>
      <c r="K211" s="1">
        <v>13451.78</v>
      </c>
    </row>
    <row r="212" spans="1:11" x14ac:dyDescent="0.35">
      <c r="A212">
        <v>533575</v>
      </c>
      <c r="B212">
        <v>1476734</v>
      </c>
      <c r="C212" t="str">
        <f>"ST JOSEPH ACADEMY"</f>
        <v>ST JOSEPH ACADEMY</v>
      </c>
      <c r="D212" t="s">
        <v>11</v>
      </c>
      <c r="E212" t="s">
        <v>242</v>
      </c>
      <c r="F212" t="s">
        <v>87</v>
      </c>
      <c r="G212">
        <v>78520</v>
      </c>
      <c r="H212">
        <v>2006</v>
      </c>
      <c r="I212" s="1">
        <v>998.4</v>
      </c>
      <c r="J212" s="1">
        <v>2496</v>
      </c>
      <c r="K212" s="1">
        <v>989.95</v>
      </c>
    </row>
    <row r="213" spans="1:11" x14ac:dyDescent="0.35">
      <c r="A213">
        <v>533115</v>
      </c>
      <c r="B213">
        <v>1473499</v>
      </c>
      <c r="C213" t="str">
        <f>"ST JOSEPH ELEMENTARY SCHOOL"</f>
        <v>ST JOSEPH ELEMENTARY SCHOOL</v>
      </c>
      <c r="D213" t="s">
        <v>11</v>
      </c>
      <c r="E213" t="s">
        <v>243</v>
      </c>
      <c r="F213" t="s">
        <v>244</v>
      </c>
      <c r="G213">
        <v>77520</v>
      </c>
      <c r="H213">
        <v>2006</v>
      </c>
      <c r="I213" s="1">
        <v>506.04</v>
      </c>
      <c r="J213" s="1">
        <v>1012.08</v>
      </c>
      <c r="K213" s="1">
        <v>506.04</v>
      </c>
    </row>
    <row r="214" spans="1:11" x14ac:dyDescent="0.35">
      <c r="A214">
        <v>533121</v>
      </c>
      <c r="B214">
        <v>1473522</v>
      </c>
      <c r="C214" t="str">
        <f>"ST LAURENCE ELEMENTARY SCHOOL"</f>
        <v>ST LAURENCE ELEMENTARY SCHOOL</v>
      </c>
      <c r="D214" t="s">
        <v>11</v>
      </c>
      <c r="E214" t="s">
        <v>245</v>
      </c>
      <c r="F214" t="s">
        <v>246</v>
      </c>
      <c r="G214">
        <v>77479</v>
      </c>
      <c r="H214">
        <v>2006</v>
      </c>
      <c r="I214" s="1">
        <v>528</v>
      </c>
      <c r="J214" s="1">
        <v>1320</v>
      </c>
      <c r="K214" s="1">
        <v>0</v>
      </c>
    </row>
    <row r="215" spans="1:11" x14ac:dyDescent="0.35">
      <c r="A215">
        <v>528016</v>
      </c>
      <c r="B215">
        <v>1456438</v>
      </c>
      <c r="C215" t="str">
        <f>"ST LEO SCHOOL"</f>
        <v>ST LEO SCHOOL</v>
      </c>
      <c r="D215" t="s">
        <v>11</v>
      </c>
      <c r="E215" t="s">
        <v>247</v>
      </c>
      <c r="F215" t="s">
        <v>28</v>
      </c>
      <c r="G215">
        <v>78214</v>
      </c>
      <c r="H215">
        <v>2006</v>
      </c>
      <c r="I215" s="1">
        <v>736.56</v>
      </c>
      <c r="J215" s="1">
        <v>818.4</v>
      </c>
      <c r="K215" s="1">
        <v>701.52</v>
      </c>
    </row>
    <row r="216" spans="1:11" x14ac:dyDescent="0.35">
      <c r="A216">
        <v>527785</v>
      </c>
      <c r="B216">
        <v>1455430</v>
      </c>
      <c r="C216" t="str">
        <f>"ST MARGARET MARY SCHOOL"</f>
        <v>ST MARGARET MARY SCHOOL</v>
      </c>
      <c r="D216" t="s">
        <v>11</v>
      </c>
      <c r="E216" t="s">
        <v>248</v>
      </c>
      <c r="F216" t="s">
        <v>28</v>
      </c>
      <c r="G216">
        <v>78223</v>
      </c>
      <c r="H216">
        <v>2006</v>
      </c>
      <c r="I216" s="1">
        <v>344.28</v>
      </c>
      <c r="J216" s="1">
        <v>688.56</v>
      </c>
      <c r="K216" s="1">
        <v>302.27999999999997</v>
      </c>
    </row>
    <row r="217" spans="1:11" x14ac:dyDescent="0.35">
      <c r="A217">
        <v>527785</v>
      </c>
      <c r="B217">
        <v>1455463</v>
      </c>
      <c r="C217" t="str">
        <f>"ST MARGARET MARY SCHOOL"</f>
        <v>ST MARGARET MARY SCHOOL</v>
      </c>
      <c r="D217" t="s">
        <v>11</v>
      </c>
      <c r="E217" t="s">
        <v>248</v>
      </c>
      <c r="F217" t="s">
        <v>28</v>
      </c>
      <c r="G217">
        <v>78223</v>
      </c>
      <c r="H217">
        <v>2006</v>
      </c>
      <c r="I217" s="1">
        <v>999.54</v>
      </c>
      <c r="J217" s="1">
        <v>1999.08</v>
      </c>
      <c r="K217" s="1">
        <v>999.54</v>
      </c>
    </row>
    <row r="218" spans="1:11" x14ac:dyDescent="0.35">
      <c r="A218">
        <v>525508</v>
      </c>
      <c r="B218">
        <v>1447875</v>
      </c>
      <c r="C218" t="str">
        <f>"ST MARY OF CARMEL SCHOOL"</f>
        <v>ST MARY OF CARMEL SCHOOL</v>
      </c>
      <c r="D218" t="s">
        <v>11</v>
      </c>
      <c r="E218" t="s">
        <v>249</v>
      </c>
      <c r="F218" t="s">
        <v>13</v>
      </c>
      <c r="G218">
        <v>75212</v>
      </c>
      <c r="H218">
        <v>2006</v>
      </c>
      <c r="I218" s="1">
        <v>684</v>
      </c>
      <c r="J218" s="1">
        <v>1140</v>
      </c>
    </row>
    <row r="219" spans="1:11" x14ac:dyDescent="0.35">
      <c r="A219">
        <v>532115</v>
      </c>
      <c r="B219">
        <v>1469933</v>
      </c>
      <c r="C219" t="str">
        <f>"ST MARY'S ACADEMY CHARTER SCHOOL"</f>
        <v>ST MARY'S ACADEMY CHARTER SCHOOL</v>
      </c>
      <c r="D219" t="s">
        <v>11</v>
      </c>
      <c r="E219" t="s">
        <v>250</v>
      </c>
      <c r="F219" t="s">
        <v>251</v>
      </c>
      <c r="G219">
        <v>78104</v>
      </c>
      <c r="H219">
        <v>2006</v>
      </c>
      <c r="I219" s="1">
        <v>12616.02</v>
      </c>
      <c r="J219" s="1">
        <v>14017.8</v>
      </c>
      <c r="K219" s="1">
        <v>12616.02</v>
      </c>
    </row>
    <row r="220" spans="1:11" x14ac:dyDescent="0.35">
      <c r="A220">
        <v>520401</v>
      </c>
      <c r="B220">
        <v>1432796</v>
      </c>
      <c r="C220" t="str">
        <f>"ST MATTHEW CATHOLIC SCHOOL"</f>
        <v>ST MATTHEW CATHOLIC SCHOOL</v>
      </c>
      <c r="D220" t="s">
        <v>11</v>
      </c>
      <c r="E220" t="s">
        <v>252</v>
      </c>
      <c r="F220" t="s">
        <v>28</v>
      </c>
      <c r="G220">
        <v>78230</v>
      </c>
      <c r="H220">
        <v>2006</v>
      </c>
      <c r="I220" s="1">
        <v>423.36</v>
      </c>
      <c r="J220" s="1">
        <v>1058.4000000000001</v>
      </c>
      <c r="K220" s="1">
        <v>311.68</v>
      </c>
    </row>
    <row r="221" spans="1:11" x14ac:dyDescent="0.35">
      <c r="A221">
        <v>533165</v>
      </c>
      <c r="B221">
        <v>1473632</v>
      </c>
      <c r="C221" t="str">
        <f>"ST MICHAEL SCHOOL"</f>
        <v>ST MICHAEL SCHOOL</v>
      </c>
      <c r="D221" t="s">
        <v>11</v>
      </c>
      <c r="E221" t="s">
        <v>253</v>
      </c>
      <c r="F221" t="s">
        <v>18</v>
      </c>
      <c r="G221">
        <v>77056</v>
      </c>
      <c r="H221">
        <v>2006</v>
      </c>
      <c r="I221" s="1">
        <v>847.97</v>
      </c>
      <c r="J221" s="1">
        <v>1059.96</v>
      </c>
      <c r="K221" s="1">
        <v>847.97</v>
      </c>
    </row>
    <row r="222" spans="1:11" x14ac:dyDescent="0.35">
      <c r="A222">
        <v>527724</v>
      </c>
      <c r="B222">
        <v>1455263</v>
      </c>
      <c r="C222" t="str">
        <f>"ST PETER PRINCE OF APOSTLES"</f>
        <v>ST PETER PRINCE OF APOSTLES</v>
      </c>
      <c r="D222" t="s">
        <v>11</v>
      </c>
      <c r="E222" t="s">
        <v>254</v>
      </c>
      <c r="F222" t="s">
        <v>28</v>
      </c>
      <c r="G222">
        <v>78209</v>
      </c>
      <c r="H222">
        <v>2006</v>
      </c>
      <c r="I222" s="1">
        <v>783.55</v>
      </c>
      <c r="J222" s="1">
        <v>1958.88</v>
      </c>
      <c r="K222" s="1">
        <v>567.07000000000005</v>
      </c>
    </row>
    <row r="223" spans="1:11" x14ac:dyDescent="0.35">
      <c r="A223">
        <v>534623</v>
      </c>
      <c r="B223">
        <v>1478310</v>
      </c>
      <c r="C223" t="str">
        <f>"ST PETER'S MEMORIAL SCHOOL"</f>
        <v>ST PETER'S MEMORIAL SCHOOL</v>
      </c>
      <c r="D223" t="s">
        <v>11</v>
      </c>
      <c r="E223" t="s">
        <v>255</v>
      </c>
      <c r="F223" t="s">
        <v>76</v>
      </c>
      <c r="G223">
        <v>78040</v>
      </c>
      <c r="H223">
        <v>2006</v>
      </c>
      <c r="I223" s="1">
        <v>499.01</v>
      </c>
      <c r="J223" s="1">
        <v>623.76</v>
      </c>
    </row>
    <row r="224" spans="1:11" x14ac:dyDescent="0.35">
      <c r="A224">
        <v>520990</v>
      </c>
      <c r="B224">
        <v>1455846</v>
      </c>
      <c r="C224" t="str">
        <f>"ST PHILIP SCHOOL"</f>
        <v>ST PHILIP SCHOOL</v>
      </c>
      <c r="D224" t="s">
        <v>11</v>
      </c>
      <c r="E224" t="s">
        <v>256</v>
      </c>
      <c r="F224" t="s">
        <v>257</v>
      </c>
      <c r="G224">
        <v>77437</v>
      </c>
      <c r="H224">
        <v>2006</v>
      </c>
      <c r="I224" s="1">
        <v>149.69999999999999</v>
      </c>
      <c r="J224" s="1">
        <v>299.39999999999998</v>
      </c>
    </row>
    <row r="225" spans="1:11" x14ac:dyDescent="0.35">
      <c r="A225">
        <v>533204</v>
      </c>
      <c r="B225">
        <v>1473768</v>
      </c>
      <c r="C225" t="str">
        <f>"ST PIUS V SCHOOL"</f>
        <v>ST PIUS V SCHOOL</v>
      </c>
      <c r="D225" t="s">
        <v>11</v>
      </c>
      <c r="E225" t="s">
        <v>258</v>
      </c>
      <c r="F225" t="s">
        <v>259</v>
      </c>
      <c r="G225">
        <v>77506</v>
      </c>
      <c r="H225">
        <v>2006</v>
      </c>
      <c r="I225" s="1">
        <v>472.07</v>
      </c>
      <c r="J225" s="1">
        <v>524.52</v>
      </c>
      <c r="K225" s="1">
        <v>472.07</v>
      </c>
    </row>
    <row r="226" spans="1:11" x14ac:dyDescent="0.35">
      <c r="A226">
        <v>533204</v>
      </c>
      <c r="B226">
        <v>1473771</v>
      </c>
      <c r="C226" t="str">
        <f>"ST PIUS V SCHOOL"</f>
        <v>ST PIUS V SCHOOL</v>
      </c>
      <c r="D226" t="s">
        <v>11</v>
      </c>
      <c r="E226" t="s">
        <v>258</v>
      </c>
      <c r="F226" t="s">
        <v>259</v>
      </c>
      <c r="G226">
        <v>77506</v>
      </c>
      <c r="H226">
        <v>2006</v>
      </c>
      <c r="I226" s="1">
        <v>2159.46</v>
      </c>
      <c r="J226" s="1">
        <v>2399.4</v>
      </c>
      <c r="K226" s="1">
        <v>2159.46</v>
      </c>
    </row>
    <row r="227" spans="1:11" x14ac:dyDescent="0.35">
      <c r="A227">
        <v>533224</v>
      </c>
      <c r="B227">
        <v>1473831</v>
      </c>
      <c r="C227" t="str">
        <f>"ST PIUS X HIGH SCHOOL"</f>
        <v>ST PIUS X HIGH SCHOOL</v>
      </c>
      <c r="D227" t="s">
        <v>11</v>
      </c>
      <c r="E227" t="s">
        <v>260</v>
      </c>
      <c r="F227" t="s">
        <v>18</v>
      </c>
      <c r="G227">
        <v>77091</v>
      </c>
      <c r="H227">
        <v>2006</v>
      </c>
      <c r="I227" s="1">
        <v>8369.0400000000009</v>
      </c>
      <c r="J227" s="1">
        <v>16738.080000000002</v>
      </c>
      <c r="K227" s="1">
        <v>7052.1</v>
      </c>
    </row>
    <row r="228" spans="1:11" x14ac:dyDescent="0.35">
      <c r="A228">
        <v>533249</v>
      </c>
      <c r="B228">
        <v>1473885</v>
      </c>
      <c r="C228" t="str">
        <f>"ST ROSE OF LIMA SCHOOL"</f>
        <v>ST ROSE OF LIMA SCHOOL</v>
      </c>
      <c r="D228" t="s">
        <v>11</v>
      </c>
      <c r="E228" t="s">
        <v>261</v>
      </c>
      <c r="F228" t="s">
        <v>18</v>
      </c>
      <c r="G228">
        <v>77018</v>
      </c>
      <c r="H228">
        <v>2006</v>
      </c>
      <c r="I228" s="1">
        <v>2731.01</v>
      </c>
      <c r="J228" s="1">
        <v>6827.52</v>
      </c>
      <c r="K228" s="1">
        <v>2731.01</v>
      </c>
    </row>
    <row r="229" spans="1:11" x14ac:dyDescent="0.35">
      <c r="A229">
        <v>533276</v>
      </c>
      <c r="B229">
        <v>1473961</v>
      </c>
      <c r="C229" t="str">
        <f>"ST THERESA ELEMENTARY SCHOOL"</f>
        <v>ST THERESA ELEMENTARY SCHOOL</v>
      </c>
      <c r="D229" t="s">
        <v>11</v>
      </c>
      <c r="E229" t="s">
        <v>262</v>
      </c>
      <c r="F229" t="s">
        <v>18</v>
      </c>
      <c r="G229">
        <v>77007</v>
      </c>
      <c r="H229">
        <v>2006</v>
      </c>
      <c r="I229" s="1">
        <v>89.95</v>
      </c>
      <c r="J229" s="1">
        <v>449.76</v>
      </c>
      <c r="K229" s="1">
        <v>89.95</v>
      </c>
    </row>
    <row r="230" spans="1:11" x14ac:dyDescent="0.35">
      <c r="A230">
        <v>533306</v>
      </c>
      <c r="B230">
        <v>1474038</v>
      </c>
      <c r="C230" t="str">
        <f>"ST THOMAS MORE SCHOOL"</f>
        <v>ST THOMAS MORE SCHOOL</v>
      </c>
      <c r="D230" t="s">
        <v>11</v>
      </c>
      <c r="E230" t="s">
        <v>263</v>
      </c>
      <c r="F230" t="s">
        <v>18</v>
      </c>
      <c r="G230">
        <v>77096</v>
      </c>
      <c r="H230">
        <v>2006</v>
      </c>
      <c r="I230" s="1">
        <v>905.33</v>
      </c>
      <c r="J230" s="1">
        <v>2263.3200000000002</v>
      </c>
      <c r="K230" s="1">
        <v>905.33</v>
      </c>
    </row>
    <row r="231" spans="1:11" x14ac:dyDescent="0.35">
      <c r="A231">
        <v>533328</v>
      </c>
      <c r="B231">
        <v>1474129</v>
      </c>
      <c r="C231" t="str">
        <f>"ST VINCENT DE PAUL SCHOOL"</f>
        <v>ST VINCENT DE PAUL SCHOOL</v>
      </c>
      <c r="D231" t="s">
        <v>11</v>
      </c>
      <c r="E231" t="s">
        <v>264</v>
      </c>
      <c r="F231" t="s">
        <v>18</v>
      </c>
      <c r="G231">
        <v>77025</v>
      </c>
      <c r="H231">
        <v>2006</v>
      </c>
      <c r="I231" s="1">
        <v>1363.2</v>
      </c>
      <c r="J231" s="1">
        <v>3408</v>
      </c>
      <c r="K231" s="1">
        <v>1363.2</v>
      </c>
    </row>
    <row r="232" spans="1:11" x14ac:dyDescent="0.35">
      <c r="A232">
        <v>529762</v>
      </c>
      <c r="B232">
        <v>1463797</v>
      </c>
      <c r="C232" t="str">
        <f>"SUNDOWN INDEP SCHOOL DISTRICT"</f>
        <v>SUNDOWN INDEP SCHOOL DISTRICT</v>
      </c>
      <c r="D232" t="s">
        <v>11</v>
      </c>
      <c r="E232" t="s">
        <v>265</v>
      </c>
      <c r="F232" t="s">
        <v>266</v>
      </c>
      <c r="G232">
        <v>79372</v>
      </c>
      <c r="H232">
        <v>2006</v>
      </c>
      <c r="I232" s="1">
        <v>4320</v>
      </c>
      <c r="J232" s="1">
        <v>6000</v>
      </c>
      <c r="K232" s="1">
        <v>4320</v>
      </c>
    </row>
    <row r="233" spans="1:11" x14ac:dyDescent="0.35">
      <c r="A233">
        <v>529762</v>
      </c>
      <c r="B233">
        <v>1464022</v>
      </c>
      <c r="C233" t="str">
        <f>"SUNDOWN INDEP SCHOOL DISTRICT"</f>
        <v>SUNDOWN INDEP SCHOOL DISTRICT</v>
      </c>
      <c r="D233" t="s">
        <v>11</v>
      </c>
      <c r="E233" t="s">
        <v>265</v>
      </c>
      <c r="F233" t="s">
        <v>266</v>
      </c>
      <c r="G233">
        <v>79372</v>
      </c>
      <c r="H233">
        <v>2006</v>
      </c>
      <c r="I233" s="1">
        <v>319.68</v>
      </c>
      <c r="J233" s="1">
        <v>444</v>
      </c>
      <c r="K233" s="1">
        <v>319.68</v>
      </c>
    </row>
    <row r="234" spans="1:11" x14ac:dyDescent="0.35">
      <c r="A234">
        <v>529762</v>
      </c>
      <c r="B234">
        <v>1463857</v>
      </c>
      <c r="C234" t="str">
        <f>"SUNDOWN INDEP SCHOOL DISTRICT"</f>
        <v>SUNDOWN INDEP SCHOOL DISTRICT</v>
      </c>
      <c r="D234" t="s">
        <v>11</v>
      </c>
      <c r="E234" t="s">
        <v>265</v>
      </c>
      <c r="F234" t="s">
        <v>266</v>
      </c>
      <c r="G234">
        <v>79372</v>
      </c>
      <c r="H234">
        <v>2006</v>
      </c>
      <c r="I234" s="1">
        <v>1512</v>
      </c>
      <c r="J234" s="1">
        <v>2100</v>
      </c>
    </row>
    <row r="235" spans="1:11" x14ac:dyDescent="0.35">
      <c r="A235">
        <v>516074</v>
      </c>
      <c r="B235">
        <v>1420034</v>
      </c>
      <c r="C235" t="str">
        <f>"SW KEY SCHOOLS"</f>
        <v>SW KEY SCHOOLS</v>
      </c>
      <c r="D235" t="s">
        <v>11</v>
      </c>
      <c r="E235" t="s">
        <v>267</v>
      </c>
      <c r="F235" t="s">
        <v>25</v>
      </c>
      <c r="G235">
        <v>78704</v>
      </c>
      <c r="H235">
        <v>2006</v>
      </c>
      <c r="I235" s="1">
        <v>0</v>
      </c>
      <c r="J235" s="1">
        <v>0</v>
      </c>
    </row>
    <row r="236" spans="1:11" x14ac:dyDescent="0.35">
      <c r="A236">
        <v>516074</v>
      </c>
      <c r="B236">
        <v>1420015</v>
      </c>
      <c r="C236" t="str">
        <f>"SW KEY SCHOOLS"</f>
        <v>SW KEY SCHOOLS</v>
      </c>
      <c r="D236" t="s">
        <v>11</v>
      </c>
      <c r="E236" t="s">
        <v>267</v>
      </c>
      <c r="F236" t="s">
        <v>25</v>
      </c>
      <c r="G236">
        <v>78704</v>
      </c>
      <c r="H236">
        <v>2006</v>
      </c>
      <c r="I236" s="1">
        <v>0</v>
      </c>
      <c r="J236" s="1">
        <v>0</v>
      </c>
    </row>
    <row r="237" spans="1:11" x14ac:dyDescent="0.35">
      <c r="A237">
        <v>516074</v>
      </c>
      <c r="B237">
        <v>1420085</v>
      </c>
      <c r="C237" t="str">
        <f>"SW KEY SCHOOLS"</f>
        <v>SW KEY SCHOOLS</v>
      </c>
      <c r="D237" t="s">
        <v>11</v>
      </c>
      <c r="E237" t="s">
        <v>267</v>
      </c>
      <c r="F237" t="s">
        <v>25</v>
      </c>
      <c r="G237">
        <v>78704</v>
      </c>
      <c r="H237">
        <v>2006</v>
      </c>
      <c r="I237" s="1">
        <v>0</v>
      </c>
      <c r="J237" s="1">
        <v>0</v>
      </c>
    </row>
    <row r="238" spans="1:11" x14ac:dyDescent="0.35">
      <c r="A238">
        <v>516074</v>
      </c>
      <c r="B238">
        <v>1419993</v>
      </c>
      <c r="C238" t="str">
        <f>"SW KEY SCHOOLS"</f>
        <v>SW KEY SCHOOLS</v>
      </c>
      <c r="D238" t="s">
        <v>11</v>
      </c>
      <c r="E238" t="s">
        <v>267</v>
      </c>
      <c r="F238" t="s">
        <v>25</v>
      </c>
      <c r="G238">
        <v>78704</v>
      </c>
      <c r="H238">
        <v>2006</v>
      </c>
      <c r="I238" s="1">
        <v>0</v>
      </c>
      <c r="J238" s="1">
        <v>0</v>
      </c>
    </row>
    <row r="239" spans="1:11" x14ac:dyDescent="0.35">
      <c r="A239">
        <v>516074</v>
      </c>
      <c r="B239">
        <v>1420058</v>
      </c>
      <c r="C239" t="str">
        <f>"SW KEY SCHOOLS"</f>
        <v>SW KEY SCHOOLS</v>
      </c>
      <c r="D239" t="s">
        <v>11</v>
      </c>
      <c r="E239" t="s">
        <v>267</v>
      </c>
      <c r="F239" t="s">
        <v>25</v>
      </c>
      <c r="G239">
        <v>78704</v>
      </c>
      <c r="H239">
        <v>2006</v>
      </c>
      <c r="I239" s="1">
        <v>0</v>
      </c>
      <c r="J239" s="1">
        <v>0</v>
      </c>
    </row>
    <row r="240" spans="1:11" x14ac:dyDescent="0.35">
      <c r="A240">
        <v>520606</v>
      </c>
      <c r="B240">
        <v>1433129</v>
      </c>
      <c r="C240" t="str">
        <f>"SWEET HOME INDEP SCH DISTRICT"</f>
        <v>SWEET HOME INDEP SCH DISTRICT</v>
      </c>
      <c r="D240" t="s">
        <v>11</v>
      </c>
      <c r="E240" t="s">
        <v>268</v>
      </c>
      <c r="F240" t="s">
        <v>269</v>
      </c>
      <c r="G240">
        <v>77987</v>
      </c>
      <c r="H240">
        <v>2006</v>
      </c>
      <c r="I240" s="1">
        <v>936</v>
      </c>
      <c r="J240" s="1">
        <v>1560</v>
      </c>
      <c r="K240" s="1">
        <v>936</v>
      </c>
    </row>
    <row r="241" spans="1:11" x14ac:dyDescent="0.35">
      <c r="A241">
        <v>520606</v>
      </c>
      <c r="B241">
        <v>1433135</v>
      </c>
      <c r="C241" t="str">
        <f>"SWEET HOME INDEP SCH DISTRICT"</f>
        <v>SWEET HOME INDEP SCH DISTRICT</v>
      </c>
      <c r="D241" t="s">
        <v>11</v>
      </c>
      <c r="E241" t="s">
        <v>268</v>
      </c>
      <c r="F241" t="s">
        <v>269</v>
      </c>
      <c r="G241">
        <v>77987</v>
      </c>
      <c r="H241">
        <v>2006</v>
      </c>
      <c r="I241" s="1">
        <v>5760</v>
      </c>
      <c r="J241" s="1">
        <v>9600</v>
      </c>
      <c r="K241" s="1">
        <v>5760</v>
      </c>
    </row>
    <row r="242" spans="1:11" x14ac:dyDescent="0.35">
      <c r="A242">
        <v>537843</v>
      </c>
      <c r="B242">
        <v>1489921</v>
      </c>
      <c r="C242" t="str">
        <f>"TEMPLE EDUCATION CENTER"</f>
        <v>TEMPLE EDUCATION CENTER</v>
      </c>
      <c r="D242" t="s">
        <v>11</v>
      </c>
      <c r="E242" t="s">
        <v>270</v>
      </c>
      <c r="F242" t="s">
        <v>271</v>
      </c>
      <c r="G242">
        <v>76502</v>
      </c>
      <c r="H242">
        <v>2006</v>
      </c>
      <c r="I242" s="1">
        <v>0</v>
      </c>
      <c r="J242" s="1">
        <v>1079.4000000000001</v>
      </c>
    </row>
    <row r="243" spans="1:11" x14ac:dyDescent="0.35">
      <c r="A243">
        <v>531832</v>
      </c>
      <c r="B243">
        <v>1468653</v>
      </c>
      <c r="C243" t="str">
        <f>"TEXAS MILITARY INSTITUTE"</f>
        <v>TEXAS MILITARY INSTITUTE</v>
      </c>
      <c r="D243" t="s">
        <v>11</v>
      </c>
      <c r="E243" t="s">
        <v>272</v>
      </c>
      <c r="F243" t="s">
        <v>28</v>
      </c>
      <c r="G243">
        <v>78257</v>
      </c>
      <c r="H243">
        <v>2006</v>
      </c>
      <c r="I243" s="1">
        <v>2880</v>
      </c>
      <c r="J243" s="1">
        <v>7200</v>
      </c>
      <c r="K243" s="1">
        <v>2880</v>
      </c>
    </row>
    <row r="244" spans="1:11" x14ac:dyDescent="0.35">
      <c r="A244">
        <v>531832</v>
      </c>
      <c r="B244">
        <v>1468690</v>
      </c>
      <c r="C244" t="str">
        <f>"TEXAS MILITARY INSTITUTE"</f>
        <v>TEXAS MILITARY INSTITUTE</v>
      </c>
      <c r="D244" t="s">
        <v>11</v>
      </c>
      <c r="E244" t="s">
        <v>272</v>
      </c>
      <c r="F244" t="s">
        <v>28</v>
      </c>
      <c r="G244">
        <v>78257</v>
      </c>
      <c r="H244">
        <v>2006</v>
      </c>
      <c r="I244" s="1">
        <v>105.36</v>
      </c>
      <c r="J244" s="1">
        <v>263.39999999999998</v>
      </c>
      <c r="K244" s="1">
        <v>105.36</v>
      </c>
    </row>
    <row r="245" spans="1:11" x14ac:dyDescent="0.35">
      <c r="A245">
        <v>505402</v>
      </c>
      <c r="B245">
        <v>1388793</v>
      </c>
      <c r="C245" t="str">
        <f>"TEXAS SERENITY ACADEMY"</f>
        <v>TEXAS SERENITY ACADEMY</v>
      </c>
      <c r="D245" t="s">
        <v>11</v>
      </c>
      <c r="E245" t="s">
        <v>273</v>
      </c>
      <c r="F245" t="s">
        <v>18</v>
      </c>
      <c r="G245">
        <v>77060</v>
      </c>
      <c r="H245">
        <v>2006</v>
      </c>
      <c r="I245" s="1">
        <v>1653.26</v>
      </c>
      <c r="J245" s="1">
        <v>1836.96</v>
      </c>
      <c r="K245" s="1">
        <v>935.86</v>
      </c>
    </row>
    <row r="246" spans="1:11" x14ac:dyDescent="0.35">
      <c r="A246">
        <v>505403</v>
      </c>
      <c r="B246">
        <v>1388800</v>
      </c>
      <c r="C246" t="str">
        <f>"TEXAS SERENTIY ACADEMY"</f>
        <v>TEXAS SERENTIY ACADEMY</v>
      </c>
      <c r="D246" t="s">
        <v>11</v>
      </c>
      <c r="E246" t="s">
        <v>274</v>
      </c>
      <c r="F246" t="s">
        <v>275</v>
      </c>
      <c r="G246">
        <v>75241</v>
      </c>
      <c r="H246">
        <v>2006</v>
      </c>
      <c r="I246" s="1">
        <v>1182.49</v>
      </c>
      <c r="J246" s="1">
        <v>1313.88</v>
      </c>
    </row>
    <row r="247" spans="1:11" x14ac:dyDescent="0.35">
      <c r="A247">
        <v>523673</v>
      </c>
      <c r="B247">
        <v>1447704</v>
      </c>
      <c r="C247" t="str">
        <f>"THE AMERICAN ACADEMY OF EXCELLENCE"</f>
        <v>THE AMERICAN ACADEMY OF EXCELLENCE</v>
      </c>
      <c r="D247" t="s">
        <v>11</v>
      </c>
      <c r="E247" t="s">
        <v>276</v>
      </c>
      <c r="F247" t="s">
        <v>18</v>
      </c>
      <c r="G247">
        <v>77002</v>
      </c>
      <c r="H247">
        <v>2006</v>
      </c>
      <c r="I247" s="1">
        <v>4113.57</v>
      </c>
      <c r="J247" s="1">
        <v>4570.63</v>
      </c>
    </row>
    <row r="248" spans="1:11" x14ac:dyDescent="0.35">
      <c r="A248">
        <v>529446</v>
      </c>
      <c r="B248">
        <v>1461770</v>
      </c>
      <c r="C248" t="str">
        <f>"THE NANCY NEY CHARTER SCHOOL"</f>
        <v>THE NANCY NEY CHARTER SCHOOL</v>
      </c>
      <c r="D248" t="s">
        <v>11</v>
      </c>
      <c r="E248" t="s">
        <v>277</v>
      </c>
      <c r="F248" t="s">
        <v>278</v>
      </c>
      <c r="G248">
        <v>78131</v>
      </c>
      <c r="H248">
        <v>2006</v>
      </c>
      <c r="I248" s="1">
        <v>5280</v>
      </c>
      <c r="J248" s="1">
        <v>6600</v>
      </c>
    </row>
    <row r="249" spans="1:11" x14ac:dyDescent="0.35">
      <c r="A249">
        <v>529446</v>
      </c>
      <c r="B249">
        <v>1462047</v>
      </c>
      <c r="C249" t="str">
        <f>"THE NANCY NEY CHARTER SCHOOL"</f>
        <v>THE NANCY NEY CHARTER SCHOOL</v>
      </c>
      <c r="D249" t="s">
        <v>11</v>
      </c>
      <c r="E249" t="s">
        <v>277</v>
      </c>
      <c r="F249" t="s">
        <v>278</v>
      </c>
      <c r="G249">
        <v>78131</v>
      </c>
      <c r="H249">
        <v>2006</v>
      </c>
      <c r="I249" s="1">
        <v>3000</v>
      </c>
      <c r="J249" s="1">
        <v>3750</v>
      </c>
    </row>
    <row r="250" spans="1:11" x14ac:dyDescent="0.35">
      <c r="A250">
        <v>513380</v>
      </c>
      <c r="B250">
        <v>1412363</v>
      </c>
      <c r="C250" t="str">
        <f>"TRANSFORMATIVE  CHARTER ACADEMY"</f>
        <v>TRANSFORMATIVE  CHARTER ACADEMY</v>
      </c>
      <c r="D250" t="s">
        <v>11</v>
      </c>
      <c r="E250" t="s">
        <v>279</v>
      </c>
      <c r="F250" t="s">
        <v>196</v>
      </c>
      <c r="G250">
        <v>76541</v>
      </c>
      <c r="H250">
        <v>2006</v>
      </c>
      <c r="I250" s="1">
        <v>11232</v>
      </c>
      <c r="J250" s="1">
        <v>12480</v>
      </c>
      <c r="K250" s="1">
        <v>11232</v>
      </c>
    </row>
    <row r="251" spans="1:11" x14ac:dyDescent="0.35">
      <c r="A251">
        <v>515821</v>
      </c>
      <c r="B251">
        <v>1419388</v>
      </c>
      <c r="C251" t="str">
        <f>"TRAVIS COUNTY LEARNING CENTER"</f>
        <v>TRAVIS COUNTY LEARNING CENTER</v>
      </c>
      <c r="D251" t="s">
        <v>11</v>
      </c>
      <c r="E251" t="s">
        <v>280</v>
      </c>
      <c r="F251" t="s">
        <v>25</v>
      </c>
      <c r="G251">
        <v>78702</v>
      </c>
      <c r="H251">
        <v>2006</v>
      </c>
      <c r="I251" s="1">
        <v>620.14</v>
      </c>
      <c r="J251" s="1">
        <v>689.04</v>
      </c>
    </row>
    <row r="252" spans="1:11" x14ac:dyDescent="0.35">
      <c r="A252">
        <v>520719</v>
      </c>
      <c r="B252">
        <v>1433396</v>
      </c>
      <c r="C252" t="str">
        <f>"TRAVIS ELEMENTARY SCHOOL"</f>
        <v>TRAVIS ELEMENTARY SCHOOL</v>
      </c>
      <c r="D252" t="s">
        <v>11</v>
      </c>
      <c r="E252" t="s">
        <v>281</v>
      </c>
      <c r="F252" t="s">
        <v>30</v>
      </c>
      <c r="G252">
        <v>79245</v>
      </c>
      <c r="H252">
        <v>2006</v>
      </c>
      <c r="I252" s="1">
        <v>2508</v>
      </c>
      <c r="J252" s="1">
        <v>3135</v>
      </c>
      <c r="K252" s="1">
        <v>2508</v>
      </c>
    </row>
    <row r="253" spans="1:11" x14ac:dyDescent="0.35">
      <c r="A253">
        <v>533359</v>
      </c>
      <c r="B253">
        <v>1474216</v>
      </c>
      <c r="C253" t="str">
        <f>"TRUE CROSS SCHOOL"</f>
        <v>TRUE CROSS SCHOOL</v>
      </c>
      <c r="D253" t="s">
        <v>11</v>
      </c>
      <c r="E253" t="s">
        <v>282</v>
      </c>
      <c r="F253" t="s">
        <v>283</v>
      </c>
      <c r="G253">
        <v>77539</v>
      </c>
      <c r="H253">
        <v>2006</v>
      </c>
      <c r="I253" s="1">
        <v>385.1</v>
      </c>
      <c r="J253" s="1">
        <v>962.76</v>
      </c>
      <c r="K253" s="1">
        <v>385.1</v>
      </c>
    </row>
    <row r="254" spans="1:11" x14ac:dyDescent="0.35">
      <c r="A254">
        <v>526666</v>
      </c>
      <c r="B254">
        <v>1480880</v>
      </c>
      <c r="C254" t="str">
        <f>"TWO DIMENSIONS PREPARATORY ACADEMY"</f>
        <v>TWO DIMENSIONS PREPARATORY ACADEMY</v>
      </c>
      <c r="D254" t="s">
        <v>11</v>
      </c>
      <c r="E254" t="s">
        <v>284</v>
      </c>
      <c r="F254" t="s">
        <v>18</v>
      </c>
      <c r="G254">
        <v>77067</v>
      </c>
      <c r="H254">
        <v>2006</v>
      </c>
      <c r="I254" s="1">
        <v>0</v>
      </c>
      <c r="J254" s="1">
        <v>0</v>
      </c>
    </row>
    <row r="255" spans="1:11" x14ac:dyDescent="0.35">
      <c r="A255">
        <v>521029</v>
      </c>
      <c r="B255">
        <v>1434442</v>
      </c>
      <c r="C255" t="str">
        <f>"TYLER ACCELERATED INTERMEDIATE ACADEMY"</f>
        <v>TYLER ACCELERATED INTERMEDIATE ACADEMY</v>
      </c>
      <c r="D255" t="s">
        <v>11</v>
      </c>
      <c r="E255" t="s">
        <v>285</v>
      </c>
      <c r="F255" t="s">
        <v>65</v>
      </c>
      <c r="G255">
        <v>75702</v>
      </c>
      <c r="H255">
        <v>2006</v>
      </c>
      <c r="I255" s="1">
        <v>2808</v>
      </c>
      <c r="J255" s="1">
        <v>3120</v>
      </c>
    </row>
    <row r="256" spans="1:11" x14ac:dyDescent="0.35">
      <c r="A256">
        <v>521029</v>
      </c>
      <c r="B256">
        <v>1434451</v>
      </c>
      <c r="C256" t="str">
        <f>"TYLER ACCELERATED INTERMEDIATE ACADEMY"</f>
        <v>TYLER ACCELERATED INTERMEDIATE ACADEMY</v>
      </c>
      <c r="D256" t="s">
        <v>11</v>
      </c>
      <c r="E256" t="s">
        <v>285</v>
      </c>
      <c r="F256" t="s">
        <v>65</v>
      </c>
      <c r="G256">
        <v>75702</v>
      </c>
      <c r="H256">
        <v>2006</v>
      </c>
      <c r="I256" s="1">
        <v>6393.6</v>
      </c>
      <c r="J256" s="1">
        <v>7104</v>
      </c>
    </row>
    <row r="257" spans="1:11" x14ac:dyDescent="0.35">
      <c r="A257">
        <v>535776</v>
      </c>
      <c r="B257">
        <v>1482711</v>
      </c>
      <c r="C257" t="str">
        <f>"VANGUARD ACADEMY"</f>
        <v>VANGUARD ACADEMY</v>
      </c>
      <c r="D257" t="s">
        <v>11</v>
      </c>
      <c r="E257" t="s">
        <v>286</v>
      </c>
      <c r="F257" t="s">
        <v>287</v>
      </c>
      <c r="G257">
        <v>78577</v>
      </c>
      <c r="H257">
        <v>2006</v>
      </c>
      <c r="I257" s="1">
        <v>0</v>
      </c>
      <c r="J257" s="1">
        <v>20604</v>
      </c>
      <c r="K257" s="1">
        <v>0</v>
      </c>
    </row>
    <row r="258" spans="1:11" x14ac:dyDescent="0.35">
      <c r="A258">
        <v>535950</v>
      </c>
      <c r="B258">
        <v>1483111</v>
      </c>
      <c r="C258" t="str">
        <f>"VICKERY ST TWO DIMENSIONS PREP ACADADEMY"</f>
        <v>VICKERY ST TWO DIMENSIONS PREP ACADADEMY</v>
      </c>
      <c r="D258" t="s">
        <v>11</v>
      </c>
      <c r="E258" t="s">
        <v>288</v>
      </c>
      <c r="F258" t="s">
        <v>18</v>
      </c>
      <c r="G258">
        <v>77039</v>
      </c>
      <c r="H258">
        <v>2006</v>
      </c>
      <c r="I258" s="1">
        <v>0</v>
      </c>
      <c r="J258" s="1">
        <v>0</v>
      </c>
    </row>
    <row r="259" spans="1:11" x14ac:dyDescent="0.35">
      <c r="A259">
        <v>532375</v>
      </c>
      <c r="B259">
        <v>1470557</v>
      </c>
      <c r="C259" t="str">
        <f>"VYSEHRAD INDEP SCHOOL DISTRICT"</f>
        <v>VYSEHRAD INDEP SCHOOL DISTRICT</v>
      </c>
      <c r="D259" t="s">
        <v>11</v>
      </c>
      <c r="E259" t="s">
        <v>289</v>
      </c>
      <c r="F259" t="s">
        <v>89</v>
      </c>
      <c r="G259">
        <v>77964</v>
      </c>
      <c r="H259">
        <v>2006</v>
      </c>
      <c r="I259" s="1">
        <v>6720</v>
      </c>
      <c r="J259" s="1">
        <v>9600</v>
      </c>
      <c r="K259" s="1">
        <v>6720</v>
      </c>
    </row>
    <row r="260" spans="1:11" x14ac:dyDescent="0.35">
      <c r="A260">
        <v>521269</v>
      </c>
      <c r="B260">
        <v>1437652</v>
      </c>
      <c r="C260" t="str">
        <f>"WALCOTT ELEMENTARY SCHOOL"</f>
        <v>WALCOTT ELEMENTARY SCHOOL</v>
      </c>
      <c r="D260" t="s">
        <v>11</v>
      </c>
      <c r="E260" t="s">
        <v>290</v>
      </c>
      <c r="F260" t="s">
        <v>291</v>
      </c>
      <c r="G260">
        <v>79045</v>
      </c>
      <c r="H260">
        <v>2006</v>
      </c>
      <c r="I260" s="1">
        <v>6720</v>
      </c>
      <c r="J260" s="1">
        <v>8400</v>
      </c>
      <c r="K260" s="1">
        <v>6720</v>
      </c>
    </row>
    <row r="261" spans="1:11" x14ac:dyDescent="0.35">
      <c r="A261">
        <v>521319</v>
      </c>
      <c r="B261">
        <v>1435421</v>
      </c>
      <c r="C261" t="str">
        <f>"WELLMAN UNION SCHOOL"</f>
        <v>WELLMAN UNION SCHOOL</v>
      </c>
      <c r="D261" t="s">
        <v>11</v>
      </c>
      <c r="E261" t="s">
        <v>292</v>
      </c>
      <c r="F261" t="s">
        <v>293</v>
      </c>
      <c r="G261">
        <v>79378</v>
      </c>
      <c r="H261">
        <v>2006</v>
      </c>
      <c r="I261" s="1">
        <v>4200</v>
      </c>
      <c r="J261" s="1">
        <v>6000</v>
      </c>
      <c r="K261" s="1">
        <v>4200</v>
      </c>
    </row>
    <row r="262" spans="1:11" x14ac:dyDescent="0.35">
      <c r="A262">
        <v>534388</v>
      </c>
      <c r="B262">
        <v>1477420</v>
      </c>
      <c r="C262" t="str">
        <f>"WELLMAN UNION SCHOOL"</f>
        <v>WELLMAN UNION SCHOOL</v>
      </c>
      <c r="D262" t="s">
        <v>11</v>
      </c>
      <c r="E262" t="s">
        <v>292</v>
      </c>
      <c r="F262" t="s">
        <v>293</v>
      </c>
      <c r="G262">
        <v>79378</v>
      </c>
      <c r="H262">
        <v>2006</v>
      </c>
      <c r="I262" s="1">
        <v>1470</v>
      </c>
      <c r="J262" s="1">
        <v>2100</v>
      </c>
      <c r="K262" s="1">
        <v>980</v>
      </c>
    </row>
    <row r="263" spans="1:11" x14ac:dyDescent="0.35">
      <c r="A263">
        <v>532321</v>
      </c>
      <c r="B263">
        <v>1470367</v>
      </c>
      <c r="C263" t="str">
        <f>"WESTHOFF INDEP SCHOOL DIST"</f>
        <v>WESTHOFF INDEP SCHOOL DIST</v>
      </c>
      <c r="D263" t="s">
        <v>11</v>
      </c>
      <c r="E263" t="s">
        <v>294</v>
      </c>
      <c r="F263" t="s">
        <v>295</v>
      </c>
      <c r="G263">
        <v>77994</v>
      </c>
      <c r="H263">
        <v>2006</v>
      </c>
      <c r="I263" s="1">
        <v>7680</v>
      </c>
      <c r="J263" s="1">
        <v>9600</v>
      </c>
      <c r="K263" s="1">
        <v>7680</v>
      </c>
    </row>
    <row r="264" spans="1:11" x14ac:dyDescent="0.35">
      <c r="A264">
        <v>512451</v>
      </c>
      <c r="B264">
        <v>1409805</v>
      </c>
      <c r="C264" t="str">
        <f>"WESTPHALIA INDEP SCHOOL DIST"</f>
        <v>WESTPHALIA INDEP SCHOOL DIST</v>
      </c>
      <c r="D264" t="s">
        <v>11</v>
      </c>
      <c r="E264" t="s">
        <v>296</v>
      </c>
      <c r="F264" t="s">
        <v>297</v>
      </c>
      <c r="G264">
        <v>76656</v>
      </c>
      <c r="H264">
        <v>2006</v>
      </c>
      <c r="I264" s="1">
        <v>0</v>
      </c>
      <c r="J264" s="1">
        <v>0</v>
      </c>
    </row>
    <row r="265" spans="1:11" x14ac:dyDescent="0.35">
      <c r="A265">
        <v>531777</v>
      </c>
      <c r="B265">
        <v>1468440</v>
      </c>
      <c r="C265" t="str">
        <f>"WILDORADO INDEP SCHOOL DIST"</f>
        <v>WILDORADO INDEP SCHOOL DIST</v>
      </c>
      <c r="D265" t="s">
        <v>11</v>
      </c>
      <c r="E265" t="s">
        <v>298</v>
      </c>
      <c r="F265" t="s">
        <v>299</v>
      </c>
      <c r="G265">
        <v>79098</v>
      </c>
      <c r="H265">
        <v>2006</v>
      </c>
      <c r="I265" s="1">
        <v>456</v>
      </c>
      <c r="J265" s="1">
        <v>570</v>
      </c>
      <c r="K265" s="1">
        <v>456</v>
      </c>
    </row>
    <row r="266" spans="1:11" x14ac:dyDescent="0.35">
      <c r="A266">
        <v>522200</v>
      </c>
      <c r="B266">
        <v>1475870</v>
      </c>
      <c r="C266" t="str">
        <f>"WINGS FOR LIFE TEXAS"</f>
        <v>WINGS FOR LIFE TEXAS</v>
      </c>
      <c r="D266" t="s">
        <v>11</v>
      </c>
      <c r="E266" t="s">
        <v>300</v>
      </c>
      <c r="F266" t="s">
        <v>301</v>
      </c>
      <c r="G266">
        <v>78124</v>
      </c>
      <c r="H266">
        <v>2006</v>
      </c>
      <c r="I266" s="1">
        <v>1371.6</v>
      </c>
      <c r="J266" s="1">
        <v>1524</v>
      </c>
      <c r="K266" s="1">
        <v>564.1</v>
      </c>
    </row>
    <row r="267" spans="1:11" x14ac:dyDescent="0.35">
      <c r="A267">
        <v>522200</v>
      </c>
      <c r="B267">
        <v>1476018</v>
      </c>
      <c r="C267" t="str">
        <f>"WINGS FOR LIFE TEXAS"</f>
        <v>WINGS FOR LIFE TEXAS</v>
      </c>
      <c r="D267" t="s">
        <v>11</v>
      </c>
      <c r="E267" t="s">
        <v>300</v>
      </c>
      <c r="F267" t="s">
        <v>301</v>
      </c>
      <c r="G267">
        <v>78124</v>
      </c>
      <c r="H267">
        <v>2006</v>
      </c>
      <c r="I267" s="1">
        <v>9925.9599999999991</v>
      </c>
      <c r="J267" s="1">
        <v>11028.84</v>
      </c>
    </row>
    <row r="268" spans="1:11" x14ac:dyDescent="0.35">
      <c r="A268">
        <v>534173</v>
      </c>
      <c r="B268">
        <v>1478209</v>
      </c>
      <c r="C268" t="str">
        <f>"WONDERLAND EDUCATIONAL ESTATE"</f>
        <v>WONDERLAND EDUCATIONAL ESTATE</v>
      </c>
      <c r="D268" t="s">
        <v>11</v>
      </c>
      <c r="E268" t="s">
        <v>302</v>
      </c>
      <c r="F268" t="s">
        <v>18</v>
      </c>
      <c r="G268">
        <v>77021</v>
      </c>
      <c r="H268">
        <v>2006</v>
      </c>
      <c r="I268" s="1">
        <v>0</v>
      </c>
      <c r="J268" s="1">
        <v>0</v>
      </c>
    </row>
    <row r="269" spans="1:11" x14ac:dyDescent="0.35">
      <c r="A269">
        <v>509523</v>
      </c>
      <c r="B269">
        <v>1400622</v>
      </c>
      <c r="C269" t="str">
        <f>"ZOE LEARNING ACADEMY"</f>
        <v>ZOE LEARNING ACADEMY</v>
      </c>
      <c r="D269" t="s">
        <v>11</v>
      </c>
      <c r="E269" t="s">
        <v>303</v>
      </c>
      <c r="F269" t="s">
        <v>18</v>
      </c>
      <c r="G269">
        <v>77021</v>
      </c>
      <c r="H269">
        <v>2006</v>
      </c>
      <c r="I269" s="1">
        <v>2759.83</v>
      </c>
      <c r="J269" s="1">
        <v>3066.48</v>
      </c>
    </row>
    <row r="270" spans="1:11" x14ac:dyDescent="0.35">
      <c r="A270">
        <v>509555</v>
      </c>
      <c r="B270">
        <v>1400759</v>
      </c>
      <c r="C270" t="str">
        <f>"ZOE LEARNING ACADEMY FORT WORTH"</f>
        <v>ZOE LEARNING ACADEMY FORT WORTH</v>
      </c>
      <c r="D270" t="s">
        <v>11</v>
      </c>
      <c r="E270" t="s">
        <v>304</v>
      </c>
      <c r="F270" t="s">
        <v>305</v>
      </c>
      <c r="G270">
        <v>76119</v>
      </c>
      <c r="H270">
        <v>2006</v>
      </c>
      <c r="I270" s="1">
        <v>0</v>
      </c>
      <c r="J2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2006_School_Funding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2021-08-03T21:51:38Z</dcterms:created>
  <dcterms:modified xsi:type="dcterms:W3CDTF">2021-08-03T21:51:39Z</dcterms:modified>
</cp:coreProperties>
</file>