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rtmouth-my.sharepoint.com/personal/f004gnp_dartmouth_edu/Documents/Desktop/CS/Stata/Texas/E-Rate_Funding/School/"/>
    </mc:Choice>
  </mc:AlternateContent>
  <xr:revisionPtr revIDLastSave="0" documentId="13_ncr:4000b_{F950FCB0-DAC0-426D-A240-3BD9FD83EA92}" xr6:coauthVersionLast="47" xr6:coauthVersionMax="47" xr10:uidLastSave="{00000000-0000-0000-0000-000000000000}"/>
  <bookViews>
    <workbookView xWindow="-110" yWindow="-110" windowWidth="19420" windowHeight="10420"/>
  </bookViews>
  <sheets>
    <sheet name="2009_School_Funding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</calcChain>
</file>

<file path=xl/sharedStrings.xml><?xml version="1.0" encoding="utf-8"?>
<sst xmlns="http://schemas.openxmlformats.org/spreadsheetml/2006/main" count="1040" uniqueCount="300">
  <si>
    <t>471 Application Number</t>
  </si>
  <si>
    <t>FRN</t>
  </si>
  <si>
    <t>Applicant Name</t>
  </si>
  <si>
    <t>Application Type</t>
  </si>
  <si>
    <t>Applicant Street Address1</t>
  </si>
  <si>
    <t>Applicant City</t>
  </si>
  <si>
    <t>Applicant Zip Code</t>
  </si>
  <si>
    <t>Funding Year</t>
  </si>
  <si>
    <t>Committed Amount</t>
  </si>
  <si>
    <t>Cmtd Total Cost</t>
  </si>
  <si>
    <t>Total Authorized Disbursement</t>
  </si>
  <si>
    <t>SCHOOL</t>
  </si>
  <si>
    <t>219 SOUTH FIRST STREET</t>
  </si>
  <si>
    <t>ABBOTT</t>
  </si>
  <si>
    <t>5874 BELLFORT AVENUE</t>
  </si>
  <si>
    <t>HOUSTON</t>
  </si>
  <si>
    <t>6025 CHIMNEY ROCK ROAD</t>
  </si>
  <si>
    <t>2600 GIROLAMO</t>
  </si>
  <si>
    <t>BEAUMONT</t>
  </si>
  <si>
    <t>1030 OAK PARK DRIVE</t>
  </si>
  <si>
    <t>DALLAS</t>
  </si>
  <si>
    <t>901 EAST BELTLINE ROAD</t>
  </si>
  <si>
    <t>LANCASTER</t>
  </si>
  <si>
    <t>12825 SUMMIT RIDGE DRIVE</t>
  </si>
  <si>
    <t>4215 H STREET</t>
  </si>
  <si>
    <t>7777 OSAGE PLAZA PARKWAY</t>
  </si>
  <si>
    <t>2695 S SOUTHWEST LOOP 323</t>
  </si>
  <si>
    <t>TYLER</t>
  </si>
  <si>
    <t>701 W STATE ST</t>
  </si>
  <si>
    <t>GARLAND</t>
  </si>
  <si>
    <t>PO BOX 248</t>
  </si>
  <si>
    <t>AMHERST</t>
  </si>
  <si>
    <t>5500 EL CAMINO DEL REY</t>
  </si>
  <si>
    <t>802 CONDA AVENUE, PO BOX 231</t>
  </si>
  <si>
    <t>BALLINGER</t>
  </si>
  <si>
    <t>2834 JENSEN DRIVE</t>
  </si>
  <si>
    <t>2903 JENSEN DR</t>
  </si>
  <si>
    <t>1485 HILLCREST</t>
  </si>
  <si>
    <t>SAN ANTONIO</t>
  </si>
  <si>
    <t>3900 RUGGED DR</t>
  </si>
  <si>
    <t>9750 FERGUSON RD</t>
  </si>
  <si>
    <t>9001 DIANA DR</t>
  </si>
  <si>
    <t>EL PASO</t>
  </si>
  <si>
    <t>PO BOX 949</t>
  </si>
  <si>
    <t>NEMO</t>
  </si>
  <si>
    <t>2507 CENTRAL FREEWAY E.</t>
  </si>
  <si>
    <t>WICHITA FALLS</t>
  </si>
  <si>
    <t>5467 ROGERS HILL ROAD</t>
  </si>
  <si>
    <t>WEST</t>
  </si>
  <si>
    <t>203 S TENTH</t>
  </si>
  <si>
    <t>BUCKHOLTS</t>
  </si>
  <si>
    <t>1201 AUSTIN ST</t>
  </si>
  <si>
    <t>RICHMOND</t>
  </si>
  <si>
    <t>US HIGHWAY 69</t>
  </si>
  <si>
    <t>POLLOK</t>
  </si>
  <si>
    <t>1638 ANN ARBOR ST</t>
  </si>
  <si>
    <t>7803 LITTLE YORK RD</t>
  </si>
  <si>
    <t>502 E STARR AVE</t>
  </si>
  <si>
    <t>NACOGDOCHES</t>
  </si>
  <si>
    <t>4100 COLGATE AVE</t>
  </si>
  <si>
    <t>2501 GARRETT MORRIS PKWY</t>
  </si>
  <si>
    <t>MINERAL WELLS</t>
  </si>
  <si>
    <t>4005 CHEENA DR</t>
  </si>
  <si>
    <t>242 HARMONY ROAD, PO BOX 1327</t>
  </si>
  <si>
    <t>WEATHERFORD</t>
  </si>
  <si>
    <t>8225 S. BROADWAY</t>
  </si>
  <si>
    <t>924 WAYNE STREET</t>
  </si>
  <si>
    <t>6215 MANCHACA ROAD BLDG D</t>
  </si>
  <si>
    <t>Austin</t>
  </si>
  <si>
    <t>3380 FANNIN</t>
  </si>
  <si>
    <t>615 NORTH 25TH STREET</t>
  </si>
  <si>
    <t>WACO</t>
  </si>
  <si>
    <t>HIGHWAY 922</t>
  </si>
  <si>
    <t>ERA</t>
  </si>
  <si>
    <t>6532 SOUTH US 377</t>
  </si>
  <si>
    <t>STEPHENVILLE</t>
  </si>
  <si>
    <t>1101 SOUTH SHERMAN STREET</t>
  </si>
  <si>
    <t>RICHARDSON</t>
  </si>
  <si>
    <t>20500 FM 531</t>
  </si>
  <si>
    <t>HALLETTSVILLE</t>
  </si>
  <si>
    <t>250 WASHINGTON ST</t>
  </si>
  <si>
    <t>616 S VIRGINIA ST</t>
  </si>
  <si>
    <t>1140 MORRISON DRIVE</t>
  </si>
  <si>
    <t>FORT WORTH</t>
  </si>
  <si>
    <t>2601 AVENUE N</t>
  </si>
  <si>
    <t>GALVESTON</t>
  </si>
  <si>
    <t>400 COLLEGE</t>
  </si>
  <si>
    <t>GAUSE</t>
  </si>
  <si>
    <t>6903 SUNBELT DR SO.</t>
  </si>
  <si>
    <t>201 MEREDITH DRIVE</t>
  </si>
  <si>
    <t>6001 GULF FWY</t>
  </si>
  <si>
    <t>137 HAMILTON DR</t>
  </si>
  <si>
    <t>114 W LEXINGTON</t>
  </si>
  <si>
    <t>GORMAN</t>
  </si>
  <si>
    <t>6000 HEATHERBROOK</t>
  </si>
  <si>
    <t>8915 SOUTH HAMPTON</t>
  </si>
  <si>
    <t>9421 W. SAM HOUSTON PKWY</t>
  </si>
  <si>
    <t>13415 W. BELFORT</t>
  </si>
  <si>
    <t>SUGAR LAND</t>
  </si>
  <si>
    <t>4055 CALDER AVE</t>
  </si>
  <si>
    <t>2031 S. TEXAS AVE</t>
  </si>
  <si>
    <t>BRYAN</t>
  </si>
  <si>
    <t>11995 FORESTGATE DRIVE</t>
  </si>
  <si>
    <t>9405 BETEL DRIVE</t>
  </si>
  <si>
    <t>1102 NW 7TH ST</t>
  </si>
  <si>
    <t>GRAND PRAIRIE</t>
  </si>
  <si>
    <t>5435 S BRAESWOOD</t>
  </si>
  <si>
    <t>1900 N VALLEY MILLS DR</t>
  </si>
  <si>
    <t>4TH AND JOHNSON</t>
  </si>
  <si>
    <t>HARTLEY</t>
  </si>
  <si>
    <t>4110 S BONHAM ST</t>
  </si>
  <si>
    <t>AMARILLO</t>
  </si>
  <si>
    <t>2001 KATY AVE</t>
  </si>
  <si>
    <t>BAY CITY</t>
  </si>
  <si>
    <t>426 N SAN FELIPE AVE</t>
  </si>
  <si>
    <t>2323 CHEYENNE ST</t>
  </si>
  <si>
    <t>IRVING</t>
  </si>
  <si>
    <t>6920 CHIMNEY ROCK RD</t>
  </si>
  <si>
    <t>3814 NASH BLVD</t>
  </si>
  <si>
    <t>1912 MARION ST</t>
  </si>
  <si>
    <t>1408 JAMES ST</t>
  </si>
  <si>
    <t>ROSENBERG</t>
  </si>
  <si>
    <t>3815 OAK LAWN AVE</t>
  </si>
  <si>
    <t>12525 FONDREN, SUITE L</t>
  </si>
  <si>
    <t>902 WEST 8TH STREET</t>
  </si>
  <si>
    <t>244 RESACA BLVD</t>
  </si>
  <si>
    <t>BROWNSVILLE</t>
  </si>
  <si>
    <t>3000 W HIGHWAY 22</t>
  </si>
  <si>
    <t>CORSICANA</t>
  </si>
  <si>
    <t>17406 BAMWOOD ROAD</t>
  </si>
  <si>
    <t>5TH AVE EAST</t>
  </si>
  <si>
    <t>JARRELL</t>
  </si>
  <si>
    <t>12345 INWOOD RD</t>
  </si>
  <si>
    <t>1400 PARKWAY PLAZA</t>
  </si>
  <si>
    <t>2201 WEST PLANO PARKWAY SUITE 125</t>
  </si>
  <si>
    <t>PLANO</t>
  </si>
  <si>
    <t>735 FREDERICKSBURG ROAD</t>
  </si>
  <si>
    <t>3200 SOUTH LANCASTER ROAD, SUITE 230A</t>
  </si>
  <si>
    <t>10860 ROCKLEY</t>
  </si>
  <si>
    <t>6600 SANFORD  ROAD</t>
  </si>
  <si>
    <t>8515 BROOKWULF DRIVE</t>
  </si>
  <si>
    <t>7860 WEST FUQUA STREET</t>
  </si>
  <si>
    <t>MISSOURI CITY</t>
  </si>
  <si>
    <t>722 TENNISON MEMORIAL</t>
  </si>
  <si>
    <t>10910 S POST OAK</t>
  </si>
  <si>
    <t>1897 MEYERSVILLE RD</t>
  </si>
  <si>
    <t>MEYERSVILLE</t>
  </si>
  <si>
    <t>5950 KELLY DR</t>
  </si>
  <si>
    <t>FM 50</t>
  </si>
  <si>
    <t>MUMFORD</t>
  </si>
  <si>
    <t>9661 EAST  BANK</t>
  </si>
  <si>
    <t>MURCHISON</t>
  </si>
  <si>
    <t>606 E ROYAL LANE</t>
  </si>
  <si>
    <t>1126 WEST TIDWELL ROAD</t>
  </si>
  <si>
    <t>4705 LYONS AVE</t>
  </si>
  <si>
    <t>2018 ALLEN ST</t>
  </si>
  <si>
    <t>907 MAIN ST</t>
  </si>
  <si>
    <t>KERRVILLE</t>
  </si>
  <si>
    <t>NURSERY DRIVE</t>
  </si>
  <si>
    <t>NURSERY</t>
  </si>
  <si>
    <t>1702 9TH ST</t>
  </si>
  <si>
    <t>GALENA PARK</t>
  </si>
  <si>
    <t>1600 9TH AVE N</t>
  </si>
  <si>
    <t>TEXAS CITY</t>
  </si>
  <si>
    <t>2405 NAVIGATION BLVD</t>
  </si>
  <si>
    <t>6703 WHITEFRIARS DR</t>
  </si>
  <si>
    <t>1600 HIGHWAY 2004</t>
  </si>
  <si>
    <t>CLUTE</t>
  </si>
  <si>
    <t>71 GALVESTON DRIVE</t>
  </si>
  <si>
    <t>VICTORIA</t>
  </si>
  <si>
    <t>JCT. HWY 673&amp;798</t>
  </si>
  <si>
    <t>PAWNEE</t>
  </si>
  <si>
    <t>4605 LIVE OAK</t>
  </si>
  <si>
    <t>PO BOX 394, HIGHWAY 303</t>
  </si>
  <si>
    <t>PEP</t>
  </si>
  <si>
    <t>9315 JACK FINNEY BOULEVARD</t>
  </si>
  <si>
    <t>GREENVILLE</t>
  </si>
  <si>
    <t>705 PINE DR</t>
  </si>
  <si>
    <t>DICKINSON</t>
  </si>
  <si>
    <t>1800 W. GRAND PKWY NORTH</t>
  </si>
  <si>
    <t>KATY</t>
  </si>
  <si>
    <t>5100 W PLANO PKWY</t>
  </si>
  <si>
    <t>IH35 NORTH</t>
  </si>
  <si>
    <t>1215 N SAINT MARYS ST</t>
  </si>
  <si>
    <t>2320 OAKCLIFF ST</t>
  </si>
  <si>
    <t>14023 STATE HIGHWAY 155, SOUTH</t>
  </si>
  <si>
    <t>2000 J J FLEWELLEN</t>
  </si>
  <si>
    <t>1020 ELM AVENUE BLDGS 200-500</t>
  </si>
  <si>
    <t>2102 N 23RD ST</t>
  </si>
  <si>
    <t>916 MAJESTIC ST</t>
  </si>
  <si>
    <t>4106 SW 51ST AVE</t>
  </si>
  <si>
    <t>1310 PENNSYLVANIA AVE SUITE C</t>
  </si>
  <si>
    <t>3875 1/2 SOUTH STABLEs</t>
  </si>
  <si>
    <t>CORPUS CHRISTI</t>
  </si>
  <si>
    <t>4902 34TH STREET, SUTE 10</t>
  </si>
  <si>
    <t>LUBBOCK</t>
  </si>
  <si>
    <t>1001 EAST VETERANS MEMORIAL BLVD  SUITE 301C</t>
  </si>
  <si>
    <t>KILLEEN</t>
  </si>
  <si>
    <t>6785 CAMP BOWIE BLVD, #200</t>
  </si>
  <si>
    <t>2525 GRANDVIEW AVE., SUITE 600</t>
  </si>
  <si>
    <t>ODESSA</t>
  </si>
  <si>
    <t>713 EAST AIRTEX DRIVE</t>
  </si>
  <si>
    <t>3303 WEST ILLINOIS, # 14</t>
  </si>
  <si>
    <t>MIDLAND</t>
  </si>
  <si>
    <t>27615 BUENA VISTA ROAD</t>
  </si>
  <si>
    <t>LOS FRESNOS</t>
  </si>
  <si>
    <t>2300 WILLOWICK RD</t>
  </si>
  <si>
    <t>111 N CHURCH ST</t>
  </si>
  <si>
    <t>ROCKPORT</t>
  </si>
  <si>
    <t>615 MCDADE ST</t>
  </si>
  <si>
    <t>CONROE</t>
  </si>
  <si>
    <t>907 RUNNEBURG RD</t>
  </si>
  <si>
    <t>CROSBY</t>
  </si>
  <si>
    <t>5707 BANDERA RD</t>
  </si>
  <si>
    <t>LEON VALLEY</t>
  </si>
  <si>
    <t>5815 ALDER DRIVE</t>
  </si>
  <si>
    <t>801 ROSELANE ST</t>
  </si>
  <si>
    <t>702 S CLEVELAND ST</t>
  </si>
  <si>
    <t>DAYTON</t>
  </si>
  <si>
    <t>RR 2 BOX 103</t>
  </si>
  <si>
    <t>SLATON</t>
  </si>
  <si>
    <t>4213 MANGUM RD</t>
  </si>
  <si>
    <t>2120 WESTHEIMER RD</t>
  </si>
  <si>
    <t>635 BONHAM ST</t>
  </si>
  <si>
    <t>COLUMBUS</t>
  </si>
  <si>
    <t>1015 E HARRISON ST</t>
  </si>
  <si>
    <t>HARLINGEN</t>
  </si>
  <si>
    <t>205 W HUISACHE AVE</t>
  </si>
  <si>
    <t>1420 OLD GATE LN</t>
  </si>
  <si>
    <t>11740 JOAN OF ARC DR</t>
  </si>
  <si>
    <t>118 LOWELL ST</t>
  </si>
  <si>
    <t>8134 PARK PLACE BLVD</t>
  </si>
  <si>
    <t>3131 EL DORADO BLVD</t>
  </si>
  <si>
    <t>6646 ADDICKS SATSUMA RD</t>
  </si>
  <si>
    <t>8100 ROOS RD</t>
  </si>
  <si>
    <t>5100 DABNEY ST</t>
  </si>
  <si>
    <t>2213 OLD ALVIN ROAD</t>
  </si>
  <si>
    <t>PEARLAND</t>
  </si>
  <si>
    <t>602 S CARANCAHUA ST</t>
  </si>
  <si>
    <t>8825 KEMPWOOD DR</t>
  </si>
  <si>
    <t>5630 W COMMERCE ST</t>
  </si>
  <si>
    <t>506 E MARVIN ST</t>
  </si>
  <si>
    <t>WAXAHACHIE</t>
  </si>
  <si>
    <t>4118 S BONHAM ST</t>
  </si>
  <si>
    <t>1811 CAROLINA ST</t>
  </si>
  <si>
    <t>BAYTOWN</t>
  </si>
  <si>
    <t>600 SOUTH JUPITER ROAD</t>
  </si>
  <si>
    <t>2630 AUSTIN PKWY</t>
  </si>
  <si>
    <t>119 OCTAVIA PL</t>
  </si>
  <si>
    <t>1023 SCHULZE DR</t>
  </si>
  <si>
    <t>1202 FAIR AVE</t>
  </si>
  <si>
    <t>202 S ORANGE ST</t>
  </si>
  <si>
    <t>FREDERICKSBURG</t>
  </si>
  <si>
    <t>530 FERGUSON</t>
  </si>
  <si>
    <t>HUMBLE</t>
  </si>
  <si>
    <t>1612 E WALKER ST</t>
  </si>
  <si>
    <t>LEAGUE CITY</t>
  </si>
  <si>
    <t>410 NORTH TYLER</t>
  </si>
  <si>
    <t>BEEVILLE</t>
  </si>
  <si>
    <t>10703 WURZBACH RD</t>
  </si>
  <si>
    <t>1833 SAGE RD</t>
  </si>
  <si>
    <t>4140 WALNUT HILL LN</t>
  </si>
  <si>
    <t>2116 LOWRY STREET</t>
  </si>
  <si>
    <t>LUFKIN</t>
  </si>
  <si>
    <t>112 MARCIA PL</t>
  </si>
  <si>
    <t>1519 HOUSTON ST  PO BOX 520</t>
  </si>
  <si>
    <t>LAREDO</t>
  </si>
  <si>
    <t>812 MAIN ST</t>
  </si>
  <si>
    <t>PASADENA</t>
  </si>
  <si>
    <t>811 W DONOVAN ST</t>
  </si>
  <si>
    <t>12525 INWOOD RD</t>
  </si>
  <si>
    <t>3600 BRINKMAN ST</t>
  </si>
  <si>
    <t>3741 ABRAMS RD</t>
  </si>
  <si>
    <t>6802 BUFFALO SPEEDWAY</t>
  </si>
  <si>
    <t>3002 ROSEDALE ST.</t>
  </si>
  <si>
    <t>1100 ROOSEVELT ROAD</t>
  </si>
  <si>
    <t>ARLINGTON</t>
  </si>
  <si>
    <t>FIRST &amp; HACKBERRY</t>
  </si>
  <si>
    <t>SANDERSON</t>
  </si>
  <si>
    <t>400 UHLAND ROAD</t>
  </si>
  <si>
    <t>SAN MARCOS</t>
  </si>
  <si>
    <t>20955 W TEJAS TRL</t>
  </si>
  <si>
    <t>4637 GANO</t>
  </si>
  <si>
    <t>8500 SWEETWATER</t>
  </si>
  <si>
    <t>401 PRESENT</t>
  </si>
  <si>
    <t>6011 W OREM</t>
  </si>
  <si>
    <t>12822 ROBERT E. LEE</t>
  </si>
  <si>
    <t>400 S I ROAD</t>
  </si>
  <si>
    <t>PHARR</t>
  </si>
  <si>
    <t>595 COUNTY RD 182</t>
  </si>
  <si>
    <t>AVENUE A</t>
  </si>
  <si>
    <t>WALNUT SPRINGS</t>
  </si>
  <si>
    <t>FARM ROAD 809</t>
  </si>
  <si>
    <t>WILDORADO</t>
  </si>
  <si>
    <t>1750 VICEROY DRIVE</t>
  </si>
  <si>
    <t>1104 COUNTRY LANE</t>
  </si>
  <si>
    <t>MARION</t>
  </si>
  <si>
    <t>6701 CULLEN BLVD</t>
  </si>
  <si>
    <t>515 WEST CENTER STREET</t>
  </si>
  <si>
    <t>DUNCANVILLE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</si>
</sst>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4"/>
  <sheetViews>
    <sheetView tabSelected="1" workbookViewId="0"/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673761</v>
      </c>
      <c r="B2">
        <v>1865476</v>
      </c>
      <c r="C2" t="str">
        <f>"ABBOTT INDEP SCHOOL DISTRICT"</f>
        <v>ABBOTT INDEP SCHOOL DISTRICT</v>
      </c>
      <c r="D2" t="s">
        <v>11</v>
      </c>
      <c r="E2" t="s">
        <v>12</v>
      </c>
      <c r="F2" t="s">
        <v>13</v>
      </c>
      <c r="G2">
        <v>76621</v>
      </c>
      <c r="H2">
        <v>2009</v>
      </c>
      <c r="I2" s="1">
        <v>15876</v>
      </c>
      <c r="J2" s="1">
        <v>22680</v>
      </c>
      <c r="K2" s="1">
        <v>15876</v>
      </c>
    </row>
    <row r="3" spans="1:11" x14ac:dyDescent="0.35">
      <c r="A3">
        <v>653582</v>
      </c>
      <c r="B3">
        <v>1791284</v>
      </c>
      <c r="C3" t="str">
        <f>"ACADEMY OF ACCELERATED LEARNING"</f>
        <v>ACADEMY OF ACCELERATED LEARNING</v>
      </c>
      <c r="D3" t="s">
        <v>11</v>
      </c>
      <c r="E3" t="s">
        <v>14</v>
      </c>
      <c r="F3" t="s">
        <v>15</v>
      </c>
      <c r="G3">
        <v>77033</v>
      </c>
      <c r="H3">
        <v>2009</v>
      </c>
      <c r="I3" s="1">
        <v>4320</v>
      </c>
      <c r="J3" s="1">
        <v>4800</v>
      </c>
      <c r="K3" s="1">
        <v>4320</v>
      </c>
    </row>
    <row r="4" spans="1:11" x14ac:dyDescent="0.35">
      <c r="A4">
        <v>653484</v>
      </c>
      <c r="B4">
        <v>1791006</v>
      </c>
      <c r="C4" t="str">
        <f>"ACADEMY OF ACCELERATED LEARNING"</f>
        <v>ACADEMY OF ACCELERATED LEARNING</v>
      </c>
      <c r="D4" t="s">
        <v>11</v>
      </c>
      <c r="E4" t="s">
        <v>16</v>
      </c>
      <c r="F4" t="s">
        <v>15</v>
      </c>
      <c r="G4">
        <v>77081</v>
      </c>
      <c r="H4">
        <v>2009</v>
      </c>
      <c r="I4" s="1">
        <v>291.60000000000002</v>
      </c>
      <c r="J4" s="1">
        <v>324</v>
      </c>
    </row>
    <row r="5" spans="1:11" x14ac:dyDescent="0.35">
      <c r="A5">
        <v>656911</v>
      </c>
      <c r="B5">
        <v>1885236</v>
      </c>
      <c r="C5" t="str">
        <f>"ACADEMY OF BEAUMONT"</f>
        <v>ACADEMY OF BEAUMONT</v>
      </c>
      <c r="D5" t="s">
        <v>11</v>
      </c>
      <c r="E5" t="s">
        <v>17</v>
      </c>
      <c r="F5" t="s">
        <v>18</v>
      </c>
      <c r="G5">
        <v>77703</v>
      </c>
      <c r="H5">
        <v>2009</v>
      </c>
      <c r="I5" s="1">
        <v>5925.31</v>
      </c>
      <c r="J5" s="1">
        <v>6583.68</v>
      </c>
    </row>
    <row r="6" spans="1:11" x14ac:dyDescent="0.35">
      <c r="A6">
        <v>663039</v>
      </c>
      <c r="B6">
        <v>1887148</v>
      </c>
      <c r="C6" t="str">
        <f>"ACADEMY OF DALLAS CHARTER SCHOOL"</f>
        <v>ACADEMY OF DALLAS CHARTER SCHOOL</v>
      </c>
      <c r="D6" t="s">
        <v>11</v>
      </c>
      <c r="E6" t="s">
        <v>19</v>
      </c>
      <c r="F6" t="s">
        <v>20</v>
      </c>
      <c r="G6">
        <v>75232</v>
      </c>
      <c r="H6">
        <v>2009</v>
      </c>
      <c r="I6" s="1">
        <v>6059.88</v>
      </c>
      <c r="J6" s="1">
        <v>6733.2</v>
      </c>
      <c r="K6" s="1">
        <v>6059.88</v>
      </c>
    </row>
    <row r="7" spans="1:11" x14ac:dyDescent="0.35">
      <c r="A7">
        <v>658048</v>
      </c>
      <c r="B7">
        <v>1799981</v>
      </c>
      <c r="C7" t="str">
        <f>"ACCELERATED INTERMEDIATE ACADEMY"</f>
        <v>ACCELERATED INTERMEDIATE ACADEMY</v>
      </c>
      <c r="D7" t="s">
        <v>11</v>
      </c>
      <c r="E7" t="s">
        <v>21</v>
      </c>
      <c r="F7" t="s">
        <v>22</v>
      </c>
      <c r="G7">
        <v>75146</v>
      </c>
      <c r="H7">
        <v>2009</v>
      </c>
      <c r="I7" s="1">
        <v>1727.78</v>
      </c>
      <c r="J7" s="1">
        <v>1919.76</v>
      </c>
    </row>
    <row r="8" spans="1:11" x14ac:dyDescent="0.35">
      <c r="A8">
        <v>693245</v>
      </c>
      <c r="B8">
        <v>1902155</v>
      </c>
      <c r="C8" t="str">
        <f>"ACCELERATED INTERMEDIATE ACADEMY"</f>
        <v>ACCELERATED INTERMEDIATE ACADEMY</v>
      </c>
      <c r="D8" t="s">
        <v>11</v>
      </c>
      <c r="E8" t="s">
        <v>21</v>
      </c>
      <c r="F8" t="s">
        <v>22</v>
      </c>
      <c r="G8">
        <v>75146</v>
      </c>
      <c r="H8">
        <v>2009</v>
      </c>
      <c r="I8" s="1">
        <v>6265.08</v>
      </c>
      <c r="J8" s="1">
        <v>6961.2</v>
      </c>
    </row>
    <row r="9" spans="1:11" x14ac:dyDescent="0.35">
      <c r="A9">
        <v>657899</v>
      </c>
      <c r="B9">
        <v>1799973</v>
      </c>
      <c r="C9" t="str">
        <f>"ACCELERATED INTERMEDIATE ACADEMY # 1 ELEMENTARY"</f>
        <v>ACCELERATED INTERMEDIATE ACADEMY # 1 ELEMENTARY</v>
      </c>
      <c r="D9" t="s">
        <v>11</v>
      </c>
      <c r="E9" t="s">
        <v>23</v>
      </c>
      <c r="F9" t="s">
        <v>15</v>
      </c>
      <c r="G9">
        <v>77085</v>
      </c>
      <c r="H9">
        <v>2009</v>
      </c>
      <c r="I9" s="1">
        <v>701.46</v>
      </c>
      <c r="J9" s="1">
        <v>779.4</v>
      </c>
    </row>
    <row r="10" spans="1:11" x14ac:dyDescent="0.35">
      <c r="A10">
        <v>693126</v>
      </c>
      <c r="B10">
        <v>1901777</v>
      </c>
      <c r="C10" t="str">
        <f>"ACCELERATED INTERMEDIATE ACADEMY # 1 ELEMENTARY"</f>
        <v>ACCELERATED INTERMEDIATE ACADEMY # 1 ELEMENTARY</v>
      </c>
      <c r="D10" t="s">
        <v>11</v>
      </c>
      <c r="E10" t="s">
        <v>23</v>
      </c>
      <c r="F10" t="s">
        <v>15</v>
      </c>
      <c r="G10">
        <v>77085</v>
      </c>
      <c r="H10">
        <v>2009</v>
      </c>
      <c r="I10" s="1">
        <v>6265.08</v>
      </c>
      <c r="J10" s="1">
        <v>6961.2</v>
      </c>
    </row>
    <row r="11" spans="1:11" x14ac:dyDescent="0.35">
      <c r="A11">
        <v>686372</v>
      </c>
      <c r="B11">
        <v>1877777</v>
      </c>
      <c r="C11" t="str">
        <f>"ACCELERATED INTERMEDIATE ACADEMY # 1 ELEMENTARY"</f>
        <v>ACCELERATED INTERMEDIATE ACADEMY # 1 ELEMENTARY</v>
      </c>
      <c r="D11" t="s">
        <v>11</v>
      </c>
      <c r="E11" t="s">
        <v>23</v>
      </c>
      <c r="F11" t="s">
        <v>15</v>
      </c>
      <c r="G11">
        <v>77085</v>
      </c>
      <c r="H11">
        <v>2009</v>
      </c>
      <c r="I11" s="1">
        <v>0</v>
      </c>
      <c r="J11" s="1">
        <v>0</v>
      </c>
    </row>
    <row r="12" spans="1:11" x14ac:dyDescent="0.35">
      <c r="A12">
        <v>658040</v>
      </c>
      <c r="B12">
        <v>1799977</v>
      </c>
      <c r="C12" t="str">
        <f>"ACCELERATED INTERMEDIATE ACADEMY # 2 MIDDLE"</f>
        <v>ACCELERATED INTERMEDIATE ACADEMY # 2 MIDDLE</v>
      </c>
      <c r="D12" t="s">
        <v>11</v>
      </c>
      <c r="E12" t="s">
        <v>23</v>
      </c>
      <c r="F12" t="s">
        <v>15</v>
      </c>
      <c r="G12">
        <v>77085</v>
      </c>
      <c r="H12">
        <v>2009</v>
      </c>
      <c r="I12" s="1">
        <v>1727.78</v>
      </c>
      <c r="J12" s="1">
        <v>1919.76</v>
      </c>
    </row>
    <row r="13" spans="1:11" x14ac:dyDescent="0.35">
      <c r="A13">
        <v>676192</v>
      </c>
      <c r="B13">
        <v>1877412</v>
      </c>
      <c r="C13" t="str">
        <f>"ALIEF MONTESSORI COMMUNITY SCHOOL"</f>
        <v>ALIEF MONTESSORI COMMUNITY SCHOOL</v>
      </c>
      <c r="D13" t="s">
        <v>11</v>
      </c>
      <c r="E13" t="s">
        <v>24</v>
      </c>
      <c r="F13" t="s">
        <v>15</v>
      </c>
      <c r="G13">
        <v>77072</v>
      </c>
      <c r="H13">
        <v>2009</v>
      </c>
      <c r="I13" s="1">
        <v>395.81</v>
      </c>
      <c r="J13" s="1">
        <v>494.76</v>
      </c>
      <c r="K13" s="1">
        <v>395.81</v>
      </c>
    </row>
    <row r="14" spans="1:11" x14ac:dyDescent="0.35">
      <c r="A14">
        <v>664386</v>
      </c>
      <c r="B14">
        <v>1813865</v>
      </c>
      <c r="C14" t="str">
        <f>"ALL SAINTS CATHOLIC SCHOOL"</f>
        <v>ALL SAINTS CATHOLIC SCHOOL</v>
      </c>
      <c r="D14" t="s">
        <v>11</v>
      </c>
      <c r="E14" t="s">
        <v>25</v>
      </c>
      <c r="F14" t="s">
        <v>20</v>
      </c>
      <c r="G14">
        <v>75252</v>
      </c>
      <c r="H14">
        <v>2009</v>
      </c>
      <c r="I14" s="1">
        <v>2102.4</v>
      </c>
      <c r="J14" s="1">
        <v>5256</v>
      </c>
      <c r="K14" s="1">
        <v>2102.4</v>
      </c>
    </row>
    <row r="15" spans="1:11" x14ac:dyDescent="0.35">
      <c r="A15">
        <v>690769</v>
      </c>
      <c r="B15">
        <v>1893707</v>
      </c>
      <c r="C15" t="str">
        <f>"ALL SAINTS EPISCOPAL SCHOOL"</f>
        <v>ALL SAINTS EPISCOPAL SCHOOL</v>
      </c>
      <c r="D15" t="s">
        <v>11</v>
      </c>
      <c r="E15" t="s">
        <v>26</v>
      </c>
      <c r="F15" t="s">
        <v>27</v>
      </c>
      <c r="G15">
        <v>75701</v>
      </c>
      <c r="H15">
        <v>2009</v>
      </c>
      <c r="I15" s="1">
        <v>2640</v>
      </c>
      <c r="J15" s="1">
        <v>6600</v>
      </c>
      <c r="K15" s="1">
        <v>2640</v>
      </c>
    </row>
    <row r="16" spans="1:11" x14ac:dyDescent="0.35">
      <c r="A16">
        <v>680999</v>
      </c>
      <c r="B16">
        <v>1860371</v>
      </c>
      <c r="C16" t="str">
        <f>"ALPHA CHARTER SCHOOL"</f>
        <v>ALPHA CHARTER SCHOOL</v>
      </c>
      <c r="D16" t="s">
        <v>11</v>
      </c>
      <c r="E16" t="s">
        <v>28</v>
      </c>
      <c r="F16" t="s">
        <v>29</v>
      </c>
      <c r="G16">
        <v>75040</v>
      </c>
      <c r="H16">
        <v>2009</v>
      </c>
      <c r="I16" s="1">
        <v>9360</v>
      </c>
      <c r="J16" s="1">
        <v>11700</v>
      </c>
      <c r="K16" s="1">
        <v>8580</v>
      </c>
    </row>
    <row r="17" spans="1:11" x14ac:dyDescent="0.35">
      <c r="A17">
        <v>656204</v>
      </c>
      <c r="B17">
        <v>1814892</v>
      </c>
      <c r="C17" t="str">
        <f>"AMHERST SCHOOL"</f>
        <v>AMHERST SCHOOL</v>
      </c>
      <c r="D17" t="s">
        <v>11</v>
      </c>
      <c r="E17" t="s">
        <v>30</v>
      </c>
      <c r="F17" t="s">
        <v>31</v>
      </c>
      <c r="G17">
        <v>79312</v>
      </c>
      <c r="H17">
        <v>2009</v>
      </c>
      <c r="I17" s="1">
        <v>939.6</v>
      </c>
      <c r="J17" s="1">
        <v>1044</v>
      </c>
      <c r="K17" s="1">
        <v>939.6</v>
      </c>
    </row>
    <row r="18" spans="1:11" x14ac:dyDescent="0.35">
      <c r="A18">
        <v>656204</v>
      </c>
      <c r="B18">
        <v>1814719</v>
      </c>
      <c r="C18" t="str">
        <f>"AMHERST SCHOOL"</f>
        <v>AMHERST SCHOOL</v>
      </c>
      <c r="D18" t="s">
        <v>11</v>
      </c>
      <c r="E18" t="s">
        <v>30</v>
      </c>
      <c r="F18" t="s">
        <v>31</v>
      </c>
      <c r="G18">
        <v>79312</v>
      </c>
      <c r="H18">
        <v>2009</v>
      </c>
      <c r="I18" s="1">
        <v>6210</v>
      </c>
      <c r="J18" s="1">
        <v>6900</v>
      </c>
      <c r="K18" s="1">
        <v>5985</v>
      </c>
    </row>
    <row r="19" spans="1:11" x14ac:dyDescent="0.35">
      <c r="A19">
        <v>668542</v>
      </c>
      <c r="B19">
        <v>1824818</v>
      </c>
      <c r="C19" t="str">
        <f>"AMIGOS POR VIDA-FRIENDS FOR LIFE CHARTER SCHOOL"</f>
        <v>AMIGOS POR VIDA-FRIENDS FOR LIFE CHARTER SCHOOL</v>
      </c>
      <c r="D19" t="s">
        <v>11</v>
      </c>
      <c r="E19" t="s">
        <v>32</v>
      </c>
      <c r="F19" t="s">
        <v>15</v>
      </c>
      <c r="G19">
        <v>77081</v>
      </c>
      <c r="H19">
        <v>2009</v>
      </c>
      <c r="I19" s="1">
        <v>887.4</v>
      </c>
      <c r="J19" s="1">
        <v>986</v>
      </c>
      <c r="K19" s="1">
        <v>887.4</v>
      </c>
    </row>
    <row r="20" spans="1:11" x14ac:dyDescent="0.35">
      <c r="A20">
        <v>668542</v>
      </c>
      <c r="B20">
        <v>1824768</v>
      </c>
      <c r="C20" t="str">
        <f>"AMIGOS POR VIDA-FRIENDS FOR LIFE CHARTER SCHOOL"</f>
        <v>AMIGOS POR VIDA-FRIENDS FOR LIFE CHARTER SCHOOL</v>
      </c>
      <c r="D20" t="s">
        <v>11</v>
      </c>
      <c r="E20" t="s">
        <v>32</v>
      </c>
      <c r="F20" t="s">
        <v>15</v>
      </c>
      <c r="G20">
        <v>77081</v>
      </c>
      <c r="H20">
        <v>2009</v>
      </c>
      <c r="I20" s="1">
        <v>8964</v>
      </c>
      <c r="J20" s="1">
        <v>9960</v>
      </c>
      <c r="K20" s="1">
        <v>8964</v>
      </c>
    </row>
    <row r="21" spans="1:11" x14ac:dyDescent="0.35">
      <c r="A21">
        <v>668542</v>
      </c>
      <c r="B21">
        <v>1824801</v>
      </c>
      <c r="C21" t="str">
        <f>"AMIGOS POR VIDA-FRIENDS FOR LIFE CHARTER SCHOOL"</f>
        <v>AMIGOS POR VIDA-FRIENDS FOR LIFE CHARTER SCHOOL</v>
      </c>
      <c r="D21" t="s">
        <v>11</v>
      </c>
      <c r="E21" t="s">
        <v>32</v>
      </c>
      <c r="F21" t="s">
        <v>15</v>
      </c>
      <c r="G21">
        <v>77081</v>
      </c>
      <c r="H21">
        <v>2009</v>
      </c>
      <c r="I21" s="1">
        <v>1530</v>
      </c>
      <c r="J21" s="1">
        <v>1700</v>
      </c>
      <c r="K21" s="1">
        <v>1530</v>
      </c>
    </row>
    <row r="22" spans="1:11" x14ac:dyDescent="0.35">
      <c r="A22">
        <v>678602</v>
      </c>
      <c r="B22">
        <v>1870295</v>
      </c>
      <c r="C22" t="str">
        <f>"BALLINGER INDEP SCHOOL DIST"</f>
        <v>BALLINGER INDEP SCHOOL DIST</v>
      </c>
      <c r="D22" t="s">
        <v>11</v>
      </c>
      <c r="E22" t="s">
        <v>33</v>
      </c>
      <c r="F22" t="s">
        <v>34</v>
      </c>
      <c r="G22">
        <v>76821</v>
      </c>
      <c r="H22">
        <v>2009</v>
      </c>
      <c r="I22" s="1">
        <v>4258.87</v>
      </c>
      <c r="J22" s="1">
        <v>5531</v>
      </c>
      <c r="K22" s="1">
        <v>4258.87</v>
      </c>
    </row>
    <row r="23" spans="1:11" x14ac:dyDescent="0.35">
      <c r="A23">
        <v>678602</v>
      </c>
      <c r="B23">
        <v>1853239</v>
      </c>
      <c r="C23" t="str">
        <f>"BALLINGER INDEP SCHOOL DIST"</f>
        <v>BALLINGER INDEP SCHOOL DIST</v>
      </c>
      <c r="D23" t="s">
        <v>11</v>
      </c>
      <c r="E23" t="s">
        <v>33</v>
      </c>
      <c r="F23" t="s">
        <v>34</v>
      </c>
      <c r="G23">
        <v>76821</v>
      </c>
      <c r="H23">
        <v>2009</v>
      </c>
      <c r="I23" s="1">
        <v>23353.27</v>
      </c>
      <c r="J23" s="1">
        <v>30328.92</v>
      </c>
      <c r="K23" s="1">
        <v>1604.68</v>
      </c>
    </row>
    <row r="24" spans="1:11" x14ac:dyDescent="0.35">
      <c r="A24">
        <v>678602</v>
      </c>
      <c r="B24">
        <v>1870338</v>
      </c>
      <c r="C24" t="str">
        <f>"BALLINGER INDEP SCHOOL DIST"</f>
        <v>BALLINGER INDEP SCHOOL DIST</v>
      </c>
      <c r="D24" t="s">
        <v>11</v>
      </c>
      <c r="E24" t="s">
        <v>33</v>
      </c>
      <c r="F24" t="s">
        <v>34</v>
      </c>
      <c r="G24">
        <v>76821</v>
      </c>
      <c r="H24">
        <v>2009</v>
      </c>
      <c r="I24" s="1">
        <v>0</v>
      </c>
      <c r="J24" s="1">
        <v>0</v>
      </c>
    </row>
    <row r="25" spans="1:11" x14ac:dyDescent="0.35">
      <c r="A25">
        <v>658344</v>
      </c>
      <c r="B25">
        <v>1800517</v>
      </c>
      <c r="C25" t="str">
        <f>"BENJI'S ACADEMY CHARTER SCHOOL"</f>
        <v>BENJI'S ACADEMY CHARTER SCHOOL</v>
      </c>
      <c r="D25" t="s">
        <v>11</v>
      </c>
      <c r="E25" t="s">
        <v>35</v>
      </c>
      <c r="F25" t="s">
        <v>15</v>
      </c>
      <c r="G25">
        <v>77026</v>
      </c>
      <c r="H25">
        <v>2009</v>
      </c>
      <c r="I25" s="1">
        <v>5778</v>
      </c>
      <c r="J25" s="1">
        <v>6420</v>
      </c>
      <c r="K25" s="1">
        <v>4438.8</v>
      </c>
    </row>
    <row r="26" spans="1:11" x14ac:dyDescent="0.35">
      <c r="A26">
        <v>657188</v>
      </c>
      <c r="B26">
        <v>1798234</v>
      </c>
      <c r="C26" t="str">
        <f>"BENJIE'S SPECIAL EDUCATION ACADEMY"</f>
        <v>BENJIE'S SPECIAL EDUCATION ACADEMY</v>
      </c>
      <c r="D26" t="s">
        <v>11</v>
      </c>
      <c r="E26" t="s">
        <v>36</v>
      </c>
      <c r="F26" t="s">
        <v>15</v>
      </c>
      <c r="G26">
        <v>77026</v>
      </c>
      <c r="H26">
        <v>2009</v>
      </c>
      <c r="I26" s="1">
        <v>2653.78</v>
      </c>
      <c r="J26" s="1">
        <v>2948.64</v>
      </c>
      <c r="K26" s="1">
        <v>2570.4</v>
      </c>
    </row>
    <row r="27" spans="1:11" x14ac:dyDescent="0.35">
      <c r="A27">
        <v>657188</v>
      </c>
      <c r="B27">
        <v>1800434</v>
      </c>
      <c r="C27" t="str">
        <f>"BENJIE'S SPECIAL EDUCATION ACADEMY"</f>
        <v>BENJIE'S SPECIAL EDUCATION ACADEMY</v>
      </c>
      <c r="D27" t="s">
        <v>11</v>
      </c>
      <c r="E27" t="s">
        <v>36</v>
      </c>
      <c r="F27" t="s">
        <v>15</v>
      </c>
      <c r="G27">
        <v>77026</v>
      </c>
      <c r="H27">
        <v>2009</v>
      </c>
      <c r="I27" s="1">
        <v>13230</v>
      </c>
      <c r="J27" s="1">
        <v>14700</v>
      </c>
      <c r="K27" s="1">
        <v>13230</v>
      </c>
    </row>
    <row r="28" spans="1:11" x14ac:dyDescent="0.35">
      <c r="A28">
        <v>663030</v>
      </c>
      <c r="B28">
        <v>1900847</v>
      </c>
      <c r="C28" t="str">
        <f>"BEXAR COUNTY ACADEMY"</f>
        <v>BEXAR COUNTY ACADEMY</v>
      </c>
      <c r="D28" t="s">
        <v>11</v>
      </c>
      <c r="E28" t="s">
        <v>37</v>
      </c>
      <c r="F28" t="s">
        <v>38</v>
      </c>
      <c r="G28">
        <v>78228</v>
      </c>
      <c r="H28">
        <v>2009</v>
      </c>
      <c r="I28" s="1">
        <v>5651.64</v>
      </c>
      <c r="J28" s="1">
        <v>6279.6</v>
      </c>
      <c r="K28" s="1">
        <v>5651.64</v>
      </c>
    </row>
    <row r="29" spans="1:11" x14ac:dyDescent="0.35">
      <c r="A29">
        <v>688809</v>
      </c>
      <c r="B29">
        <v>1892408</v>
      </c>
      <c r="C29" t="str">
        <f>"BISHOP DUNNE HIGH SCHOOL"</f>
        <v>BISHOP DUNNE HIGH SCHOOL</v>
      </c>
      <c r="D29" t="s">
        <v>11</v>
      </c>
      <c r="E29" t="s">
        <v>39</v>
      </c>
      <c r="F29" t="s">
        <v>20</v>
      </c>
      <c r="G29">
        <v>75224</v>
      </c>
      <c r="H29">
        <v>2009</v>
      </c>
      <c r="I29" s="1">
        <v>13440</v>
      </c>
      <c r="J29" s="1">
        <v>33600</v>
      </c>
      <c r="K29" s="1">
        <v>6890.43</v>
      </c>
    </row>
    <row r="30" spans="1:11" x14ac:dyDescent="0.35">
      <c r="A30">
        <v>670045</v>
      </c>
      <c r="B30">
        <v>1828762</v>
      </c>
      <c r="C30" t="str">
        <f>"BISHOP LYNCH HIGH SCHOOL"</f>
        <v>BISHOP LYNCH HIGH SCHOOL</v>
      </c>
      <c r="D30" t="s">
        <v>11</v>
      </c>
      <c r="E30" t="s">
        <v>40</v>
      </c>
      <c r="F30" t="s">
        <v>20</v>
      </c>
      <c r="G30">
        <v>75228</v>
      </c>
      <c r="H30">
        <v>2009</v>
      </c>
      <c r="I30" s="1">
        <v>12826.75</v>
      </c>
      <c r="J30" s="1">
        <v>32066.880000000001</v>
      </c>
      <c r="K30" s="1">
        <v>12659.95</v>
      </c>
    </row>
    <row r="31" spans="1:11" x14ac:dyDescent="0.35">
      <c r="A31">
        <v>696043</v>
      </c>
      <c r="B31">
        <v>1912720</v>
      </c>
      <c r="C31" t="str">
        <f>"BLESSED SACRAMENT SCHOOL"</f>
        <v>BLESSED SACRAMENT SCHOOL</v>
      </c>
      <c r="D31" t="s">
        <v>11</v>
      </c>
      <c r="E31" t="s">
        <v>41</v>
      </c>
      <c r="F31" t="s">
        <v>42</v>
      </c>
      <c r="G31">
        <v>79904</v>
      </c>
      <c r="H31">
        <v>2009</v>
      </c>
      <c r="I31" s="1">
        <v>0</v>
      </c>
      <c r="J31" s="1">
        <v>0</v>
      </c>
    </row>
    <row r="32" spans="1:11" x14ac:dyDescent="0.35">
      <c r="A32">
        <v>672720</v>
      </c>
      <c r="B32">
        <v>1836645</v>
      </c>
      <c r="C32" t="str">
        <f>"BRAZOS RIVER CHARTER SCHOOL"</f>
        <v>BRAZOS RIVER CHARTER SCHOOL</v>
      </c>
      <c r="D32" t="s">
        <v>11</v>
      </c>
      <c r="E32" t="s">
        <v>43</v>
      </c>
      <c r="F32" t="s">
        <v>44</v>
      </c>
      <c r="G32">
        <v>76070</v>
      </c>
      <c r="H32">
        <v>2009</v>
      </c>
      <c r="I32" s="1">
        <v>10264.61</v>
      </c>
      <c r="J32" s="1">
        <v>12830.76</v>
      </c>
      <c r="K32" s="1">
        <v>10264.61</v>
      </c>
    </row>
    <row r="33" spans="1:11" x14ac:dyDescent="0.35">
      <c r="A33">
        <v>686476</v>
      </c>
      <c r="B33">
        <v>1881304</v>
      </c>
      <c r="C33" t="str">
        <f>"BRIGHT IDEAS SCHOOL"</f>
        <v>BRIGHT IDEAS SCHOOL</v>
      </c>
      <c r="D33" t="s">
        <v>11</v>
      </c>
      <c r="E33" t="s">
        <v>45</v>
      </c>
      <c r="F33" t="s">
        <v>46</v>
      </c>
      <c r="G33">
        <v>76302</v>
      </c>
      <c r="H33">
        <v>2009</v>
      </c>
      <c r="I33" s="1">
        <v>864</v>
      </c>
      <c r="J33" s="1">
        <v>1440</v>
      </c>
      <c r="K33" s="1">
        <v>284.76</v>
      </c>
    </row>
    <row r="34" spans="1:11" x14ac:dyDescent="0.35">
      <c r="A34">
        <v>686476</v>
      </c>
      <c r="B34">
        <v>1883863</v>
      </c>
      <c r="C34" t="str">
        <f>"BRIGHT IDEAS SCHOOL"</f>
        <v>BRIGHT IDEAS SCHOOL</v>
      </c>
      <c r="D34" t="s">
        <v>11</v>
      </c>
      <c r="E34" t="s">
        <v>45</v>
      </c>
      <c r="F34" t="s">
        <v>46</v>
      </c>
      <c r="G34">
        <v>76302</v>
      </c>
      <c r="H34">
        <v>2009</v>
      </c>
      <c r="I34" s="1">
        <v>1800</v>
      </c>
      <c r="J34" s="1">
        <v>3000</v>
      </c>
      <c r="K34" s="1">
        <v>1800</v>
      </c>
    </row>
    <row r="35" spans="1:11" x14ac:dyDescent="0.35">
      <c r="A35">
        <v>686476</v>
      </c>
      <c r="B35">
        <v>1881496</v>
      </c>
      <c r="C35" t="str">
        <f>"BRIGHT IDEAS SCHOOL"</f>
        <v>BRIGHT IDEAS SCHOOL</v>
      </c>
      <c r="D35" t="s">
        <v>11</v>
      </c>
      <c r="E35" t="s">
        <v>45</v>
      </c>
      <c r="F35" t="s">
        <v>46</v>
      </c>
      <c r="G35">
        <v>76302</v>
      </c>
      <c r="H35">
        <v>2009</v>
      </c>
      <c r="I35" s="1">
        <v>1872</v>
      </c>
      <c r="J35" s="1">
        <v>3120</v>
      </c>
      <c r="K35" s="1">
        <v>1872</v>
      </c>
    </row>
    <row r="36" spans="1:11" x14ac:dyDescent="0.35">
      <c r="A36">
        <v>688088</v>
      </c>
      <c r="B36">
        <v>1884288</v>
      </c>
      <c r="C36" t="str">
        <f>"BROOKHAVEN YOUTH RANCH"</f>
        <v>BROOKHAVEN YOUTH RANCH</v>
      </c>
      <c r="D36" t="s">
        <v>11</v>
      </c>
      <c r="E36" t="s">
        <v>47</v>
      </c>
      <c r="F36" t="s">
        <v>48</v>
      </c>
      <c r="G36">
        <v>76691</v>
      </c>
      <c r="H36">
        <v>2009</v>
      </c>
      <c r="I36" s="1">
        <v>7020</v>
      </c>
      <c r="J36" s="1">
        <v>7800</v>
      </c>
      <c r="K36" s="1">
        <v>7020</v>
      </c>
    </row>
    <row r="37" spans="1:11" x14ac:dyDescent="0.35">
      <c r="A37">
        <v>678603</v>
      </c>
      <c r="B37">
        <v>1853138</v>
      </c>
      <c r="C37" t="str">
        <f>"BUCKHOLTS INDEP SCHOOL DIST"</f>
        <v>BUCKHOLTS INDEP SCHOOL DIST</v>
      </c>
      <c r="D37" t="s">
        <v>11</v>
      </c>
      <c r="E37" t="s">
        <v>49</v>
      </c>
      <c r="F37" t="s">
        <v>50</v>
      </c>
      <c r="G37">
        <v>76518</v>
      </c>
      <c r="H37">
        <v>2009</v>
      </c>
      <c r="I37" s="1">
        <v>14175</v>
      </c>
      <c r="J37" s="1">
        <v>15750</v>
      </c>
      <c r="K37" s="1">
        <v>14175</v>
      </c>
    </row>
    <row r="38" spans="1:11" x14ac:dyDescent="0.35">
      <c r="A38">
        <v>678151</v>
      </c>
      <c r="B38">
        <v>1851711</v>
      </c>
      <c r="C38" t="str">
        <f>"BUCKHOLTS INDEP SCHOOL DIST"</f>
        <v>BUCKHOLTS INDEP SCHOOL DIST</v>
      </c>
      <c r="D38" t="s">
        <v>11</v>
      </c>
      <c r="E38" t="s">
        <v>49</v>
      </c>
      <c r="F38" t="s">
        <v>50</v>
      </c>
      <c r="G38">
        <v>76518</v>
      </c>
      <c r="H38">
        <v>2009</v>
      </c>
      <c r="I38" s="1">
        <v>2657.34</v>
      </c>
      <c r="J38" s="1">
        <v>2952.6</v>
      </c>
      <c r="K38" s="1">
        <v>2449.66</v>
      </c>
    </row>
    <row r="39" spans="1:11" x14ac:dyDescent="0.35">
      <c r="A39">
        <v>646930</v>
      </c>
      <c r="B39">
        <v>1781342</v>
      </c>
      <c r="C39" t="str">
        <f>"CALVARY EPISCOPAL SCHOOL INC"</f>
        <v>CALVARY EPISCOPAL SCHOOL INC</v>
      </c>
      <c r="D39" t="s">
        <v>11</v>
      </c>
      <c r="E39" t="s">
        <v>51</v>
      </c>
      <c r="F39" t="s">
        <v>52</v>
      </c>
      <c r="G39">
        <v>77469</v>
      </c>
      <c r="H39">
        <v>2009</v>
      </c>
      <c r="I39" s="1">
        <v>1158.48</v>
      </c>
      <c r="J39" s="1">
        <v>2896.2</v>
      </c>
      <c r="K39" s="1">
        <v>559.15</v>
      </c>
    </row>
    <row r="40" spans="1:11" x14ac:dyDescent="0.35">
      <c r="A40">
        <v>650685</v>
      </c>
      <c r="B40">
        <v>1786556</v>
      </c>
      <c r="C40" t="str">
        <f>"CENTRAL INDEP SCHOOL DISTRICT"</f>
        <v>CENTRAL INDEP SCHOOL DISTRICT</v>
      </c>
      <c r="D40" t="s">
        <v>11</v>
      </c>
      <c r="E40" t="s">
        <v>53</v>
      </c>
      <c r="F40" t="s">
        <v>54</v>
      </c>
      <c r="G40">
        <v>75969</v>
      </c>
      <c r="H40">
        <v>2009</v>
      </c>
      <c r="I40" s="1">
        <v>4144.2</v>
      </c>
      <c r="J40" s="1">
        <v>12000</v>
      </c>
      <c r="K40" s="1">
        <v>4144.2</v>
      </c>
    </row>
    <row r="41" spans="1:11" x14ac:dyDescent="0.35">
      <c r="A41">
        <v>654708</v>
      </c>
      <c r="B41">
        <v>1793805</v>
      </c>
      <c r="C41" t="str">
        <f>"CHILDREN FIRST ELEMENTARY ACADEMY OF DALLAS"</f>
        <v>CHILDREN FIRST ELEMENTARY ACADEMY OF DALLAS</v>
      </c>
      <c r="D41" t="s">
        <v>11</v>
      </c>
      <c r="E41" t="s">
        <v>55</v>
      </c>
      <c r="F41" t="s">
        <v>20</v>
      </c>
      <c r="G41">
        <v>75216</v>
      </c>
      <c r="H41">
        <v>2009</v>
      </c>
      <c r="I41" s="1">
        <v>561.71</v>
      </c>
      <c r="J41" s="1">
        <v>624.12</v>
      </c>
    </row>
    <row r="42" spans="1:11" x14ac:dyDescent="0.35">
      <c r="A42">
        <v>654740</v>
      </c>
      <c r="B42">
        <v>1793898</v>
      </c>
      <c r="C42" t="str">
        <f>"CHILDREN FIRST ELEMENTARY ACADEMY OF HOUSTON"</f>
        <v>CHILDREN FIRST ELEMENTARY ACADEMY OF HOUSTON</v>
      </c>
      <c r="D42" t="s">
        <v>11</v>
      </c>
      <c r="E42" t="s">
        <v>56</v>
      </c>
      <c r="F42" t="s">
        <v>15</v>
      </c>
      <c r="G42">
        <v>77016</v>
      </c>
      <c r="H42">
        <v>2009</v>
      </c>
      <c r="I42" s="1">
        <v>6820.31</v>
      </c>
      <c r="J42" s="1">
        <v>7578.12</v>
      </c>
    </row>
    <row r="43" spans="1:11" x14ac:dyDescent="0.35">
      <c r="A43">
        <v>658865</v>
      </c>
      <c r="B43">
        <v>1801680</v>
      </c>
      <c r="C43" t="str">
        <f>"CHRIST EPISCOPAL SCHOOL"</f>
        <v>CHRIST EPISCOPAL SCHOOL</v>
      </c>
      <c r="D43" t="s">
        <v>11</v>
      </c>
      <c r="E43" t="s">
        <v>57</v>
      </c>
      <c r="F43" t="s">
        <v>58</v>
      </c>
      <c r="G43">
        <v>75961</v>
      </c>
      <c r="H43">
        <v>2009</v>
      </c>
      <c r="I43" s="1">
        <v>696</v>
      </c>
      <c r="J43" s="1">
        <v>1392</v>
      </c>
      <c r="K43" s="1">
        <v>635.4</v>
      </c>
    </row>
    <row r="44" spans="1:11" x14ac:dyDescent="0.35">
      <c r="A44">
        <v>656950</v>
      </c>
      <c r="B44">
        <v>1798623</v>
      </c>
      <c r="C44" t="str">
        <f>"CHRIST THE KING SCHOOL"</f>
        <v>CHRIST THE KING SCHOOL</v>
      </c>
      <c r="D44" t="s">
        <v>11</v>
      </c>
      <c r="E44" t="s">
        <v>59</v>
      </c>
      <c r="F44" t="s">
        <v>20</v>
      </c>
      <c r="G44">
        <v>75225</v>
      </c>
      <c r="H44">
        <v>2009</v>
      </c>
      <c r="I44" s="1">
        <v>5280</v>
      </c>
      <c r="J44" s="1">
        <v>13200</v>
      </c>
      <c r="K44" s="1">
        <v>5280</v>
      </c>
    </row>
    <row r="45" spans="1:11" x14ac:dyDescent="0.35">
      <c r="A45">
        <v>645592</v>
      </c>
      <c r="B45">
        <v>1795918</v>
      </c>
      <c r="C45" t="str">
        <f>"COMMUNITY CHRISTIAN SCHOOL"</f>
        <v>COMMUNITY CHRISTIAN SCHOOL</v>
      </c>
      <c r="D45" t="s">
        <v>11</v>
      </c>
      <c r="E45" t="s">
        <v>60</v>
      </c>
      <c r="F45" t="s">
        <v>61</v>
      </c>
      <c r="G45">
        <v>76067</v>
      </c>
      <c r="H45">
        <v>2009</v>
      </c>
      <c r="I45" s="1">
        <v>0</v>
      </c>
      <c r="J45" s="1">
        <v>0</v>
      </c>
    </row>
    <row r="46" spans="1:11" x14ac:dyDescent="0.35">
      <c r="A46">
        <v>661260</v>
      </c>
      <c r="B46">
        <v>1851840</v>
      </c>
      <c r="C46" t="str">
        <f>"CORPUS CHRISTI SCHOOL"</f>
        <v>CORPUS CHRISTI SCHOOL</v>
      </c>
      <c r="D46" t="s">
        <v>11</v>
      </c>
      <c r="E46" t="s">
        <v>62</v>
      </c>
      <c r="F46" t="s">
        <v>15</v>
      </c>
      <c r="G46">
        <v>77025</v>
      </c>
      <c r="H46">
        <v>2009</v>
      </c>
      <c r="I46" s="1">
        <v>431.95</v>
      </c>
      <c r="J46" s="1">
        <v>1079.8800000000001</v>
      </c>
      <c r="K46" s="1">
        <v>431.95</v>
      </c>
    </row>
    <row r="47" spans="1:11" x14ac:dyDescent="0.35">
      <c r="A47">
        <v>671237</v>
      </c>
      <c r="B47">
        <v>1832050</v>
      </c>
      <c r="C47" t="str">
        <f>"CROSSTIMBERS ACADEMY CHARTER SCHOOL"</f>
        <v>CROSSTIMBERS ACADEMY CHARTER SCHOOL</v>
      </c>
      <c r="D47" t="s">
        <v>11</v>
      </c>
      <c r="E47" t="s">
        <v>63</v>
      </c>
      <c r="F47" t="s">
        <v>64</v>
      </c>
      <c r="G47">
        <v>76087</v>
      </c>
      <c r="H47">
        <v>2009</v>
      </c>
      <c r="I47" s="1">
        <v>2351.58</v>
      </c>
      <c r="J47" s="1">
        <v>3359.4</v>
      </c>
      <c r="K47" s="1">
        <v>2351.52</v>
      </c>
    </row>
    <row r="48" spans="1:11" x14ac:dyDescent="0.35">
      <c r="A48">
        <v>695894</v>
      </c>
      <c r="B48">
        <v>1912130</v>
      </c>
      <c r="C48" t="str">
        <f>"CUMBERLAND ACADEMY"</f>
        <v>CUMBERLAND ACADEMY</v>
      </c>
      <c r="D48" t="s">
        <v>11</v>
      </c>
      <c r="E48" t="s">
        <v>65</v>
      </c>
      <c r="F48" t="s">
        <v>27</v>
      </c>
      <c r="G48">
        <v>75703</v>
      </c>
      <c r="H48">
        <v>2009</v>
      </c>
      <c r="I48" s="1">
        <v>2447.52</v>
      </c>
      <c r="J48" s="1">
        <v>3059.4</v>
      </c>
      <c r="K48" s="1">
        <v>1857.52</v>
      </c>
    </row>
    <row r="49" spans="1:11" x14ac:dyDescent="0.35">
      <c r="A49">
        <v>692130</v>
      </c>
      <c r="B49">
        <v>1899774</v>
      </c>
      <c r="C49" t="str">
        <f>"CUMBERLAND ACADEMY"</f>
        <v>CUMBERLAND ACADEMY</v>
      </c>
      <c r="D49" t="s">
        <v>11</v>
      </c>
      <c r="E49" t="s">
        <v>65</v>
      </c>
      <c r="F49" t="s">
        <v>27</v>
      </c>
      <c r="G49">
        <v>75703</v>
      </c>
      <c r="H49">
        <v>2009</v>
      </c>
      <c r="I49" s="1">
        <v>740.64</v>
      </c>
      <c r="J49" s="1">
        <v>925.8</v>
      </c>
    </row>
    <row r="50" spans="1:11" x14ac:dyDescent="0.35">
      <c r="A50">
        <v>660097</v>
      </c>
      <c r="B50">
        <v>1804024</v>
      </c>
      <c r="C50" t="str">
        <f>"EAST DALLAS COMMUNITY SCHOOL"</f>
        <v>EAST DALLAS COMMUNITY SCHOOL</v>
      </c>
      <c r="D50" t="s">
        <v>11</v>
      </c>
      <c r="E50" t="s">
        <v>66</v>
      </c>
      <c r="F50" t="s">
        <v>20</v>
      </c>
      <c r="G50">
        <v>75223</v>
      </c>
      <c r="H50">
        <v>2009</v>
      </c>
      <c r="I50" s="1">
        <v>3088.8</v>
      </c>
      <c r="J50" s="1">
        <v>3861</v>
      </c>
      <c r="K50" s="1">
        <v>3088.8</v>
      </c>
    </row>
    <row r="51" spans="1:11" x14ac:dyDescent="0.35">
      <c r="A51">
        <v>661669</v>
      </c>
      <c r="B51">
        <v>1807340</v>
      </c>
      <c r="C51" t="str">
        <f>"EDEN PARK ACADEMY"</f>
        <v>EDEN PARK ACADEMY</v>
      </c>
      <c r="D51" t="s">
        <v>11</v>
      </c>
      <c r="E51" t="s">
        <v>67</v>
      </c>
      <c r="F51" t="s">
        <v>68</v>
      </c>
      <c r="G51">
        <v>78745</v>
      </c>
      <c r="H51">
        <v>2009</v>
      </c>
      <c r="I51" s="1">
        <v>6156</v>
      </c>
      <c r="J51" s="1">
        <v>10260</v>
      </c>
      <c r="K51" s="1">
        <v>6156</v>
      </c>
    </row>
    <row r="52" spans="1:11" x14ac:dyDescent="0.35">
      <c r="A52">
        <v>665825</v>
      </c>
      <c r="B52">
        <v>1826109</v>
      </c>
      <c r="C52" t="str">
        <f>"EHRHART SCHOOL"</f>
        <v>EHRHART SCHOOL</v>
      </c>
      <c r="D52" t="s">
        <v>11</v>
      </c>
      <c r="E52" t="s">
        <v>69</v>
      </c>
      <c r="F52" t="s">
        <v>18</v>
      </c>
      <c r="G52">
        <v>77701</v>
      </c>
      <c r="H52">
        <v>2009</v>
      </c>
      <c r="I52" s="1">
        <v>2116.48</v>
      </c>
      <c r="J52" s="1">
        <v>2351.64</v>
      </c>
      <c r="K52" s="1">
        <v>2116.48</v>
      </c>
    </row>
    <row r="53" spans="1:11" x14ac:dyDescent="0.35">
      <c r="A53">
        <v>662183</v>
      </c>
      <c r="B53">
        <v>1808389</v>
      </c>
      <c r="C53" t="str">
        <f>"EOAC WACO CHARTER SCHOOL"</f>
        <v>EOAC WACO CHARTER SCHOOL</v>
      </c>
      <c r="D53" t="s">
        <v>11</v>
      </c>
      <c r="E53" t="s">
        <v>70</v>
      </c>
      <c r="F53" t="s">
        <v>71</v>
      </c>
      <c r="G53">
        <v>76707</v>
      </c>
      <c r="H53">
        <v>2009</v>
      </c>
      <c r="I53" s="1">
        <v>0</v>
      </c>
      <c r="J53" s="1">
        <v>0</v>
      </c>
    </row>
    <row r="54" spans="1:11" x14ac:dyDescent="0.35">
      <c r="A54">
        <v>670393</v>
      </c>
      <c r="B54">
        <v>1896612</v>
      </c>
      <c r="C54" t="str">
        <f>"EOAC WACO CHARTER SCHOOL"</f>
        <v>EOAC WACO CHARTER SCHOOL</v>
      </c>
      <c r="D54" t="s">
        <v>11</v>
      </c>
      <c r="E54" t="s">
        <v>70</v>
      </c>
      <c r="F54" t="s">
        <v>71</v>
      </c>
      <c r="G54">
        <v>76707</v>
      </c>
      <c r="H54">
        <v>2009</v>
      </c>
      <c r="I54" s="1">
        <v>8625.42</v>
      </c>
      <c r="J54" s="1">
        <v>9583.7999999999993</v>
      </c>
      <c r="K54" s="1">
        <v>0</v>
      </c>
    </row>
    <row r="55" spans="1:11" x14ac:dyDescent="0.35">
      <c r="A55">
        <v>670393</v>
      </c>
      <c r="B55">
        <v>1829667</v>
      </c>
      <c r="C55" t="str">
        <f>"EOAC WACO CHARTER SCHOOL"</f>
        <v>EOAC WACO CHARTER SCHOOL</v>
      </c>
      <c r="D55" t="s">
        <v>11</v>
      </c>
      <c r="E55" t="s">
        <v>70</v>
      </c>
      <c r="F55" t="s">
        <v>71</v>
      </c>
      <c r="G55">
        <v>76707</v>
      </c>
      <c r="H55">
        <v>2009</v>
      </c>
      <c r="I55" s="1">
        <v>17172</v>
      </c>
      <c r="J55" s="1">
        <v>19080</v>
      </c>
      <c r="K55" s="1">
        <v>17172</v>
      </c>
    </row>
    <row r="56" spans="1:11" x14ac:dyDescent="0.35">
      <c r="A56">
        <v>677902</v>
      </c>
      <c r="B56">
        <v>1852663</v>
      </c>
      <c r="C56" t="str">
        <f>"ERA ELEMENTARY &amp; HIGH SCHOOL"</f>
        <v>ERA ELEMENTARY &amp; HIGH SCHOOL</v>
      </c>
      <c r="D56" t="s">
        <v>11</v>
      </c>
      <c r="E56" t="s">
        <v>72</v>
      </c>
      <c r="F56" t="s">
        <v>73</v>
      </c>
      <c r="G56">
        <v>76238</v>
      </c>
      <c r="H56">
        <v>2009</v>
      </c>
      <c r="I56" s="1">
        <v>3240</v>
      </c>
      <c r="J56" s="1">
        <v>5400</v>
      </c>
      <c r="K56" s="1">
        <v>3240</v>
      </c>
    </row>
    <row r="57" spans="1:11" x14ac:dyDescent="0.35">
      <c r="A57">
        <v>677902</v>
      </c>
      <c r="B57">
        <v>1854635</v>
      </c>
      <c r="C57" t="str">
        <f>"ERA ELEMENTARY &amp; HIGH SCHOOL"</f>
        <v>ERA ELEMENTARY &amp; HIGH SCHOOL</v>
      </c>
      <c r="D57" t="s">
        <v>11</v>
      </c>
      <c r="E57" t="s">
        <v>72</v>
      </c>
      <c r="F57" t="s">
        <v>73</v>
      </c>
      <c r="G57">
        <v>76238</v>
      </c>
      <c r="H57">
        <v>2009</v>
      </c>
      <c r="I57" s="1">
        <v>504</v>
      </c>
      <c r="J57" s="1">
        <v>840</v>
      </c>
      <c r="K57" s="1">
        <v>504</v>
      </c>
    </row>
    <row r="58" spans="1:11" x14ac:dyDescent="0.35">
      <c r="A58">
        <v>677902</v>
      </c>
      <c r="B58">
        <v>1854739</v>
      </c>
      <c r="C58" t="str">
        <f>"ERA ELEMENTARY &amp; HIGH SCHOOL"</f>
        <v>ERA ELEMENTARY &amp; HIGH SCHOOL</v>
      </c>
      <c r="D58" t="s">
        <v>11</v>
      </c>
      <c r="E58" t="s">
        <v>72</v>
      </c>
      <c r="F58" t="s">
        <v>73</v>
      </c>
      <c r="G58">
        <v>76238</v>
      </c>
      <c r="H58">
        <v>2009</v>
      </c>
      <c r="I58" s="1">
        <v>324</v>
      </c>
      <c r="J58" s="1">
        <v>540</v>
      </c>
      <c r="K58" s="1">
        <v>324</v>
      </c>
    </row>
    <row r="59" spans="1:11" x14ac:dyDescent="0.35">
      <c r="A59">
        <v>677902</v>
      </c>
      <c r="B59">
        <v>1854607</v>
      </c>
      <c r="C59" t="str">
        <f>"ERA ELEMENTARY &amp; HIGH SCHOOL"</f>
        <v>ERA ELEMENTARY &amp; HIGH SCHOOL</v>
      </c>
      <c r="D59" t="s">
        <v>11</v>
      </c>
      <c r="E59" t="s">
        <v>72</v>
      </c>
      <c r="F59" t="s">
        <v>73</v>
      </c>
      <c r="G59">
        <v>76238</v>
      </c>
      <c r="H59">
        <v>2009</v>
      </c>
      <c r="I59" s="1">
        <v>720</v>
      </c>
      <c r="J59" s="1">
        <v>1200</v>
      </c>
      <c r="K59" s="1">
        <v>720</v>
      </c>
    </row>
    <row r="60" spans="1:11" x14ac:dyDescent="0.35">
      <c r="A60">
        <v>665527</v>
      </c>
      <c r="B60">
        <v>1816882</v>
      </c>
      <c r="C60" t="str">
        <f>"ERATH EXCELS  ACADEMY"</f>
        <v>ERATH EXCELS  ACADEMY</v>
      </c>
      <c r="D60" t="s">
        <v>11</v>
      </c>
      <c r="E60" t="s">
        <v>74</v>
      </c>
      <c r="F60" t="s">
        <v>75</v>
      </c>
      <c r="G60">
        <v>76401</v>
      </c>
      <c r="H60">
        <v>2009</v>
      </c>
      <c r="I60" s="1">
        <v>2880</v>
      </c>
      <c r="J60" s="1">
        <v>3600</v>
      </c>
      <c r="K60" s="1">
        <v>2880</v>
      </c>
    </row>
    <row r="61" spans="1:11" x14ac:dyDescent="0.35">
      <c r="A61">
        <v>665527</v>
      </c>
      <c r="B61">
        <v>1816910</v>
      </c>
      <c r="C61" t="str">
        <f>"ERATH EXCELS  ACADEMY"</f>
        <v>ERATH EXCELS  ACADEMY</v>
      </c>
      <c r="D61" t="s">
        <v>11</v>
      </c>
      <c r="E61" t="s">
        <v>74</v>
      </c>
      <c r="F61" t="s">
        <v>75</v>
      </c>
      <c r="G61">
        <v>76401</v>
      </c>
      <c r="H61">
        <v>2009</v>
      </c>
      <c r="I61" s="1">
        <v>768</v>
      </c>
      <c r="J61" s="1">
        <v>960</v>
      </c>
      <c r="K61" s="1">
        <v>768</v>
      </c>
    </row>
    <row r="62" spans="1:11" x14ac:dyDescent="0.35">
      <c r="A62">
        <v>680128</v>
      </c>
      <c r="B62">
        <v>1890035</v>
      </c>
      <c r="C62" t="str">
        <f>"EVOLUTION ACADEMY CHARTER SCHOOL"</f>
        <v>EVOLUTION ACADEMY CHARTER SCHOOL</v>
      </c>
      <c r="D62" t="s">
        <v>11</v>
      </c>
      <c r="E62" t="s">
        <v>76</v>
      </c>
      <c r="F62" t="s">
        <v>77</v>
      </c>
      <c r="G62">
        <v>75081</v>
      </c>
      <c r="H62">
        <v>2009</v>
      </c>
      <c r="I62" s="1">
        <v>4726.66</v>
      </c>
      <c r="J62" s="1">
        <v>7877.76</v>
      </c>
    </row>
    <row r="63" spans="1:11" x14ac:dyDescent="0.35">
      <c r="A63">
        <v>663212</v>
      </c>
      <c r="B63">
        <v>1819686</v>
      </c>
      <c r="C63" t="str">
        <f>"EZZELL ELEMENTARY SCHOOL"</f>
        <v>EZZELL ELEMENTARY SCHOOL</v>
      </c>
      <c r="D63" t="s">
        <v>11</v>
      </c>
      <c r="E63" t="s">
        <v>78</v>
      </c>
      <c r="F63" t="s">
        <v>79</v>
      </c>
      <c r="G63">
        <v>77964</v>
      </c>
      <c r="H63">
        <v>2009</v>
      </c>
      <c r="I63" s="1">
        <v>5760</v>
      </c>
      <c r="J63" s="1">
        <v>9600</v>
      </c>
      <c r="K63" s="1">
        <v>5400</v>
      </c>
    </row>
    <row r="64" spans="1:11" x14ac:dyDescent="0.35">
      <c r="A64">
        <v>663212</v>
      </c>
      <c r="B64">
        <v>1819687</v>
      </c>
      <c r="C64" t="str">
        <f>"EZZELL ELEMENTARY SCHOOL"</f>
        <v>EZZELL ELEMENTARY SCHOOL</v>
      </c>
      <c r="D64" t="s">
        <v>11</v>
      </c>
      <c r="E64" t="s">
        <v>78</v>
      </c>
      <c r="F64" t="s">
        <v>79</v>
      </c>
      <c r="G64">
        <v>77964</v>
      </c>
      <c r="H64">
        <v>2009</v>
      </c>
      <c r="I64" s="1">
        <v>180</v>
      </c>
      <c r="J64" s="1">
        <v>300</v>
      </c>
    </row>
    <row r="65" spans="1:11" x14ac:dyDescent="0.35">
      <c r="A65">
        <v>663212</v>
      </c>
      <c r="B65">
        <v>1819688</v>
      </c>
      <c r="C65" t="str">
        <f>"EZZELL ELEMENTARY SCHOOL"</f>
        <v>EZZELL ELEMENTARY SCHOOL</v>
      </c>
      <c r="D65" t="s">
        <v>11</v>
      </c>
      <c r="E65" t="s">
        <v>78</v>
      </c>
      <c r="F65" t="s">
        <v>79</v>
      </c>
      <c r="G65">
        <v>77964</v>
      </c>
      <c r="H65">
        <v>2009</v>
      </c>
      <c r="I65" s="1">
        <v>300.02</v>
      </c>
      <c r="J65" s="1">
        <v>500.04</v>
      </c>
    </row>
    <row r="66" spans="1:11" x14ac:dyDescent="0.35">
      <c r="A66">
        <v>670404</v>
      </c>
      <c r="B66">
        <v>1829876</v>
      </c>
      <c r="C66" t="str">
        <f>"FATHER YERMO HIGH SCHOOL"</f>
        <v>FATHER YERMO HIGH SCHOOL</v>
      </c>
      <c r="D66" t="s">
        <v>11</v>
      </c>
      <c r="E66" t="s">
        <v>80</v>
      </c>
      <c r="F66" t="s">
        <v>42</v>
      </c>
      <c r="G66">
        <v>79905</v>
      </c>
      <c r="H66">
        <v>2009</v>
      </c>
      <c r="I66" s="1">
        <v>6361.2</v>
      </c>
      <c r="J66" s="1">
        <v>7068</v>
      </c>
      <c r="K66" s="1">
        <v>6361.2</v>
      </c>
    </row>
    <row r="67" spans="1:11" x14ac:dyDescent="0.35">
      <c r="A67">
        <v>674592</v>
      </c>
      <c r="B67">
        <v>1841497</v>
      </c>
      <c r="C67" t="str">
        <f>"FATHER YERMO LEARNING CENTER"</f>
        <v>FATHER YERMO LEARNING CENTER</v>
      </c>
      <c r="D67" t="s">
        <v>11</v>
      </c>
      <c r="E67" t="s">
        <v>81</v>
      </c>
      <c r="F67" t="s">
        <v>42</v>
      </c>
      <c r="G67">
        <v>79901</v>
      </c>
      <c r="H67">
        <v>2009</v>
      </c>
      <c r="I67" s="1">
        <v>540</v>
      </c>
      <c r="J67" s="1">
        <v>600</v>
      </c>
    </row>
    <row r="68" spans="1:11" x14ac:dyDescent="0.35">
      <c r="A68">
        <v>651508</v>
      </c>
      <c r="B68">
        <v>1787510</v>
      </c>
      <c r="C68" t="str">
        <f>"FELLOWSHIP CHRISTIAN ACADEMY"</f>
        <v>FELLOWSHIP CHRISTIAN ACADEMY</v>
      </c>
      <c r="D68" t="s">
        <v>11</v>
      </c>
      <c r="E68" t="s">
        <v>82</v>
      </c>
      <c r="F68" t="s">
        <v>83</v>
      </c>
      <c r="G68">
        <v>76120</v>
      </c>
      <c r="H68">
        <v>2009</v>
      </c>
      <c r="I68" s="1">
        <v>192</v>
      </c>
      <c r="J68" s="1">
        <v>480</v>
      </c>
    </row>
    <row r="69" spans="1:11" x14ac:dyDescent="0.35">
      <c r="A69">
        <v>670470</v>
      </c>
      <c r="B69">
        <v>1852011</v>
      </c>
      <c r="C69" t="str">
        <f>"GALVESTON CATHOLIC SCHOOL"</f>
        <v>GALVESTON CATHOLIC SCHOOL</v>
      </c>
      <c r="D69" t="s">
        <v>11</v>
      </c>
      <c r="E69" t="s">
        <v>84</v>
      </c>
      <c r="F69" t="s">
        <v>85</v>
      </c>
      <c r="G69">
        <v>77550</v>
      </c>
      <c r="H69">
        <v>2009</v>
      </c>
      <c r="I69" s="1">
        <v>764.14</v>
      </c>
      <c r="J69" s="1">
        <v>1273.56</v>
      </c>
      <c r="K69" s="1">
        <v>764.14</v>
      </c>
    </row>
    <row r="70" spans="1:11" x14ac:dyDescent="0.35">
      <c r="A70">
        <v>682488</v>
      </c>
      <c r="B70">
        <v>1865811</v>
      </c>
      <c r="C70" t="str">
        <f>"GAUSE ELEMENTARY SCHOOL"</f>
        <v>GAUSE ELEMENTARY SCHOOL</v>
      </c>
      <c r="D70" t="s">
        <v>11</v>
      </c>
      <c r="E70" t="s">
        <v>86</v>
      </c>
      <c r="F70" t="s">
        <v>87</v>
      </c>
      <c r="G70">
        <v>77857</v>
      </c>
      <c r="H70">
        <v>2009</v>
      </c>
      <c r="I70" s="1">
        <v>19319.04</v>
      </c>
      <c r="J70" s="1">
        <v>24148.799999999999</v>
      </c>
      <c r="K70" s="1">
        <v>19319.04</v>
      </c>
    </row>
    <row r="71" spans="1:11" x14ac:dyDescent="0.35">
      <c r="A71">
        <v>693341</v>
      </c>
      <c r="B71">
        <v>1904485</v>
      </c>
      <c r="C71" t="str">
        <f>"GEORGE GERVIN YOUTH CENTER"</f>
        <v>GEORGE GERVIN YOUTH CENTER</v>
      </c>
      <c r="D71" t="s">
        <v>11</v>
      </c>
      <c r="E71" t="s">
        <v>88</v>
      </c>
      <c r="F71" t="s">
        <v>38</v>
      </c>
      <c r="G71">
        <v>78218</v>
      </c>
      <c r="H71">
        <v>2009</v>
      </c>
      <c r="I71" s="1">
        <v>10800</v>
      </c>
      <c r="J71" s="1">
        <v>12000</v>
      </c>
      <c r="K71" s="1">
        <v>9720</v>
      </c>
    </row>
    <row r="72" spans="1:11" x14ac:dyDescent="0.35">
      <c r="A72">
        <v>672435</v>
      </c>
      <c r="B72">
        <v>1880930</v>
      </c>
      <c r="C72" t="str">
        <f>"GEORGE I SANCHEZ CHARTER HIGH SCHOOL"</f>
        <v>GEORGE I SANCHEZ CHARTER HIGH SCHOOL</v>
      </c>
      <c r="D72" t="s">
        <v>11</v>
      </c>
      <c r="E72" t="s">
        <v>89</v>
      </c>
      <c r="F72" t="s">
        <v>38</v>
      </c>
      <c r="G72">
        <v>78228</v>
      </c>
      <c r="H72">
        <v>2009</v>
      </c>
      <c r="I72" s="1">
        <v>6792</v>
      </c>
      <c r="J72" s="1">
        <v>8490</v>
      </c>
      <c r="K72" s="1">
        <v>4075.2</v>
      </c>
    </row>
    <row r="73" spans="1:11" x14ac:dyDescent="0.35">
      <c r="A73">
        <v>672425</v>
      </c>
      <c r="B73">
        <v>1881109</v>
      </c>
      <c r="C73" t="str">
        <f>"GEORGE I.  SANCHEZ CHARTER HIGH SCHOOL"</f>
        <v>GEORGE I.  SANCHEZ CHARTER HIGH SCHOOL</v>
      </c>
      <c r="D73" t="s">
        <v>11</v>
      </c>
      <c r="E73" t="s">
        <v>90</v>
      </c>
      <c r="F73" t="s">
        <v>15</v>
      </c>
      <c r="G73">
        <v>77023</v>
      </c>
      <c r="H73">
        <v>2009</v>
      </c>
      <c r="I73" s="1">
        <v>6473.83</v>
      </c>
      <c r="J73" s="1">
        <v>7193.14</v>
      </c>
      <c r="K73" s="1">
        <v>5785.08</v>
      </c>
    </row>
    <row r="74" spans="1:11" x14ac:dyDescent="0.35">
      <c r="A74">
        <v>672425</v>
      </c>
      <c r="B74">
        <v>1881499</v>
      </c>
      <c r="C74" t="str">
        <f>"GEORGE I.  SANCHEZ CHARTER HIGH SCHOOL"</f>
        <v>GEORGE I.  SANCHEZ CHARTER HIGH SCHOOL</v>
      </c>
      <c r="D74" t="s">
        <v>11</v>
      </c>
      <c r="E74" t="s">
        <v>90</v>
      </c>
      <c r="F74" t="s">
        <v>15</v>
      </c>
      <c r="G74">
        <v>77023</v>
      </c>
      <c r="H74">
        <v>2009</v>
      </c>
      <c r="I74" s="1">
        <v>1918.08</v>
      </c>
      <c r="J74" s="1">
        <v>2131.1999999999998</v>
      </c>
      <c r="K74" s="1">
        <v>1354.15</v>
      </c>
    </row>
    <row r="75" spans="1:11" x14ac:dyDescent="0.35">
      <c r="A75">
        <v>675972</v>
      </c>
      <c r="B75">
        <v>1845617</v>
      </c>
      <c r="C75" t="str">
        <f>"GHOLSON INDEP SCHOOL DISTRICT"</f>
        <v>GHOLSON INDEP SCHOOL DISTRICT</v>
      </c>
      <c r="D75" t="s">
        <v>11</v>
      </c>
      <c r="E75" t="s">
        <v>91</v>
      </c>
      <c r="F75" t="s">
        <v>71</v>
      </c>
      <c r="G75">
        <v>76705</v>
      </c>
      <c r="H75">
        <v>2009</v>
      </c>
      <c r="I75" s="1">
        <v>4464</v>
      </c>
      <c r="J75" s="1">
        <v>5580</v>
      </c>
      <c r="K75" s="1">
        <v>4464</v>
      </c>
    </row>
    <row r="76" spans="1:11" x14ac:dyDescent="0.35">
      <c r="A76">
        <v>678095</v>
      </c>
      <c r="B76">
        <v>1851508</v>
      </c>
      <c r="C76" t="str">
        <f>"GHOLSON INDEP SCHOOL DISTRICT"</f>
        <v>GHOLSON INDEP SCHOOL DISTRICT</v>
      </c>
      <c r="D76" t="s">
        <v>11</v>
      </c>
      <c r="E76" t="s">
        <v>91</v>
      </c>
      <c r="F76" t="s">
        <v>71</v>
      </c>
      <c r="G76">
        <v>76705</v>
      </c>
      <c r="H76">
        <v>2009</v>
      </c>
      <c r="I76" s="1">
        <v>128</v>
      </c>
      <c r="J76" s="1">
        <v>160</v>
      </c>
      <c r="K76" s="1">
        <v>128</v>
      </c>
    </row>
    <row r="77" spans="1:11" x14ac:dyDescent="0.35">
      <c r="A77">
        <v>674483</v>
      </c>
      <c r="B77">
        <v>1842582</v>
      </c>
      <c r="C77" t="str">
        <f>"GORMAN INDEP SCHOOL DISTRICT"</f>
        <v>GORMAN INDEP SCHOOL DISTRICT</v>
      </c>
      <c r="D77" t="s">
        <v>11</v>
      </c>
      <c r="E77" t="s">
        <v>92</v>
      </c>
      <c r="F77" t="s">
        <v>93</v>
      </c>
      <c r="G77">
        <v>76454</v>
      </c>
      <c r="H77">
        <v>2009</v>
      </c>
      <c r="I77" s="1">
        <v>460.8</v>
      </c>
      <c r="J77" s="1">
        <v>576</v>
      </c>
      <c r="K77" s="1">
        <v>460.8</v>
      </c>
    </row>
    <row r="78" spans="1:11" x14ac:dyDescent="0.35">
      <c r="A78">
        <v>684299</v>
      </c>
      <c r="B78">
        <v>1871103</v>
      </c>
      <c r="C78" t="str">
        <f>"GULF SHORES ALTER"</f>
        <v>GULF SHORES ALTER</v>
      </c>
      <c r="D78" t="s">
        <v>11</v>
      </c>
      <c r="E78" t="s">
        <v>94</v>
      </c>
      <c r="F78" t="s">
        <v>15</v>
      </c>
      <c r="G78">
        <v>77085</v>
      </c>
      <c r="H78">
        <v>2009</v>
      </c>
      <c r="I78" s="1">
        <v>0</v>
      </c>
      <c r="J78" s="1">
        <v>0</v>
      </c>
    </row>
    <row r="79" spans="1:11" x14ac:dyDescent="0.35">
      <c r="A79">
        <v>684299</v>
      </c>
      <c r="B79">
        <v>1871076</v>
      </c>
      <c r="C79" t="str">
        <f>"GULF SHORES ALTER"</f>
        <v>GULF SHORES ALTER</v>
      </c>
      <c r="D79" t="s">
        <v>11</v>
      </c>
      <c r="E79" t="s">
        <v>94</v>
      </c>
      <c r="F79" t="s">
        <v>15</v>
      </c>
      <c r="G79">
        <v>77085</v>
      </c>
      <c r="H79">
        <v>2009</v>
      </c>
      <c r="I79" s="1">
        <v>1036.8</v>
      </c>
      <c r="J79" s="1">
        <v>1152</v>
      </c>
      <c r="K79" s="1">
        <v>0</v>
      </c>
    </row>
    <row r="80" spans="1:11" x14ac:dyDescent="0.35">
      <c r="A80">
        <v>666927</v>
      </c>
      <c r="B80">
        <v>1820838</v>
      </c>
      <c r="C80" t="str">
        <f>"HAMPTON PREPRARATORY SCHOOL"</f>
        <v>HAMPTON PREPRARATORY SCHOOL</v>
      </c>
      <c r="D80" t="s">
        <v>11</v>
      </c>
      <c r="E80" t="s">
        <v>95</v>
      </c>
      <c r="F80" t="s">
        <v>20</v>
      </c>
      <c r="G80">
        <v>75232</v>
      </c>
      <c r="H80">
        <v>2009</v>
      </c>
      <c r="I80" s="1">
        <v>1728</v>
      </c>
      <c r="J80" s="1">
        <v>2160</v>
      </c>
      <c r="K80" s="1">
        <v>1728</v>
      </c>
    </row>
    <row r="81" spans="1:11" x14ac:dyDescent="0.35">
      <c r="A81">
        <v>666927</v>
      </c>
      <c r="B81">
        <v>1820856</v>
      </c>
      <c r="C81" t="str">
        <f>"HAMPTON PREPRARATORY SCHOOL"</f>
        <v>HAMPTON PREPRARATORY SCHOOL</v>
      </c>
      <c r="D81" t="s">
        <v>11</v>
      </c>
      <c r="E81" t="s">
        <v>95</v>
      </c>
      <c r="F81" t="s">
        <v>20</v>
      </c>
      <c r="G81">
        <v>75232</v>
      </c>
      <c r="H81">
        <v>2009</v>
      </c>
      <c r="I81" s="1">
        <v>22294.18</v>
      </c>
      <c r="J81" s="1">
        <v>27867.72</v>
      </c>
      <c r="K81" s="1">
        <v>22294.18</v>
      </c>
    </row>
    <row r="82" spans="1:11" x14ac:dyDescent="0.35">
      <c r="A82">
        <v>666927</v>
      </c>
      <c r="B82">
        <v>1820816</v>
      </c>
      <c r="C82" t="str">
        <f>"HAMPTON PREPRARATORY SCHOOL"</f>
        <v>HAMPTON PREPRARATORY SCHOOL</v>
      </c>
      <c r="D82" t="s">
        <v>11</v>
      </c>
      <c r="E82" t="s">
        <v>95</v>
      </c>
      <c r="F82" t="s">
        <v>20</v>
      </c>
      <c r="G82">
        <v>75232</v>
      </c>
      <c r="H82">
        <v>2009</v>
      </c>
      <c r="I82" s="1">
        <v>4545.84</v>
      </c>
      <c r="J82" s="1">
        <v>5682.3</v>
      </c>
      <c r="K82" s="1">
        <v>4545.6000000000004</v>
      </c>
    </row>
    <row r="83" spans="1:11" x14ac:dyDescent="0.35">
      <c r="A83">
        <v>675128</v>
      </c>
      <c r="B83">
        <v>1857453</v>
      </c>
      <c r="C83" t="str">
        <f>"HARMONY SCHOOL OF INNOVATION - HOUSTON"</f>
        <v>HARMONY SCHOOL OF INNOVATION - HOUSTON</v>
      </c>
      <c r="D83" t="s">
        <v>11</v>
      </c>
      <c r="E83" t="s">
        <v>96</v>
      </c>
      <c r="F83" t="s">
        <v>15</v>
      </c>
      <c r="G83">
        <v>77099</v>
      </c>
      <c r="H83">
        <v>2009</v>
      </c>
      <c r="I83" s="1">
        <v>0</v>
      </c>
      <c r="J83" s="1">
        <v>0</v>
      </c>
    </row>
    <row r="84" spans="1:11" x14ac:dyDescent="0.35">
      <c r="A84">
        <v>680670</v>
      </c>
      <c r="B84">
        <v>1859073</v>
      </c>
      <c r="C84" t="str">
        <f>"HARMONY SCHOOL OF SCIENCE - HOUSTON"</f>
        <v>HARMONY SCHOOL OF SCIENCE - HOUSTON</v>
      </c>
      <c r="D84" t="s">
        <v>11</v>
      </c>
      <c r="E84" t="s">
        <v>97</v>
      </c>
      <c r="F84" t="s">
        <v>98</v>
      </c>
      <c r="G84">
        <v>77478</v>
      </c>
      <c r="H84">
        <v>2009</v>
      </c>
      <c r="I84" s="1">
        <v>0</v>
      </c>
      <c r="J84" s="1">
        <v>0</v>
      </c>
    </row>
    <row r="85" spans="1:11" x14ac:dyDescent="0.35">
      <c r="A85">
        <v>686835</v>
      </c>
      <c r="B85">
        <v>1879463</v>
      </c>
      <c r="C85" t="str">
        <f>"HARMONY SCIENCE ACADEMY - BEAUMONT"</f>
        <v>HARMONY SCIENCE ACADEMY - BEAUMONT</v>
      </c>
      <c r="D85" t="s">
        <v>11</v>
      </c>
      <c r="E85" t="s">
        <v>99</v>
      </c>
      <c r="F85" t="s">
        <v>18</v>
      </c>
      <c r="G85">
        <v>77706</v>
      </c>
      <c r="H85">
        <v>2009</v>
      </c>
      <c r="I85" s="1">
        <v>858.36</v>
      </c>
      <c r="J85" s="1">
        <v>1716.72</v>
      </c>
    </row>
    <row r="86" spans="1:11" x14ac:dyDescent="0.35">
      <c r="A86">
        <v>677989</v>
      </c>
      <c r="B86">
        <v>1851924</v>
      </c>
      <c r="C86" t="str">
        <f>"HARMONY SCIENCE ACADEMY - BRYAN"</f>
        <v>HARMONY SCIENCE ACADEMY - BRYAN</v>
      </c>
      <c r="D86" t="s">
        <v>11</v>
      </c>
      <c r="E86" t="s">
        <v>100</v>
      </c>
      <c r="F86" t="s">
        <v>101</v>
      </c>
      <c r="G86">
        <v>77802</v>
      </c>
      <c r="H86">
        <v>2009</v>
      </c>
      <c r="I86" s="1">
        <v>0</v>
      </c>
      <c r="J86" s="1">
        <v>0</v>
      </c>
    </row>
    <row r="87" spans="1:11" x14ac:dyDescent="0.35">
      <c r="A87">
        <v>683733</v>
      </c>
      <c r="B87">
        <v>1869512</v>
      </c>
      <c r="C87" t="str">
        <f>"HARMONY SCIENCE ACADEMY - DALLAS"</f>
        <v>HARMONY SCIENCE ACADEMY - DALLAS</v>
      </c>
      <c r="D87" t="s">
        <v>11</v>
      </c>
      <c r="E87" t="s">
        <v>102</v>
      </c>
      <c r="F87" t="s">
        <v>20</v>
      </c>
      <c r="G87">
        <v>75243</v>
      </c>
      <c r="H87">
        <v>2009</v>
      </c>
      <c r="I87" s="1">
        <v>2604.38</v>
      </c>
      <c r="J87" s="1">
        <v>3255.48</v>
      </c>
    </row>
    <row r="88" spans="1:11" x14ac:dyDescent="0.35">
      <c r="A88">
        <v>683733</v>
      </c>
      <c r="B88">
        <v>1869314</v>
      </c>
      <c r="C88" t="str">
        <f>"HARMONY SCIENCE ACADEMY - DALLAS"</f>
        <v>HARMONY SCIENCE ACADEMY - DALLAS</v>
      </c>
      <c r="D88" t="s">
        <v>11</v>
      </c>
      <c r="E88" t="s">
        <v>102</v>
      </c>
      <c r="F88" t="s">
        <v>20</v>
      </c>
      <c r="G88">
        <v>75243</v>
      </c>
      <c r="H88">
        <v>2009</v>
      </c>
      <c r="I88" s="1">
        <v>811.49</v>
      </c>
      <c r="J88" s="1">
        <v>1014.36</v>
      </c>
    </row>
    <row r="89" spans="1:11" x14ac:dyDescent="0.35">
      <c r="A89">
        <v>678718</v>
      </c>
      <c r="B89">
        <v>1855753</v>
      </c>
      <c r="C89" t="str">
        <f>"HARMONY SCIENCE ACADEMY - EL PASO"</f>
        <v>HARMONY SCIENCE ACADEMY - EL PASO</v>
      </c>
      <c r="D89" t="s">
        <v>11</v>
      </c>
      <c r="E89" t="s">
        <v>103</v>
      </c>
      <c r="F89" t="s">
        <v>42</v>
      </c>
      <c r="G89">
        <v>79907</v>
      </c>
      <c r="H89">
        <v>2009</v>
      </c>
      <c r="I89" s="1">
        <v>6618.05</v>
      </c>
      <c r="J89" s="1">
        <v>8272.56</v>
      </c>
    </row>
    <row r="90" spans="1:11" x14ac:dyDescent="0.35">
      <c r="A90">
        <v>679762</v>
      </c>
      <c r="B90">
        <v>1891091</v>
      </c>
      <c r="C90" t="str">
        <f>"HARMONY SCIENCE ACADEMY - GRAND PRAIRIE"</f>
        <v>HARMONY SCIENCE ACADEMY - GRAND PRAIRIE</v>
      </c>
      <c r="D90" t="s">
        <v>11</v>
      </c>
      <c r="E90" t="s">
        <v>104</v>
      </c>
      <c r="F90" t="s">
        <v>105</v>
      </c>
      <c r="G90">
        <v>75050</v>
      </c>
      <c r="H90">
        <v>2009</v>
      </c>
      <c r="I90" s="1">
        <v>0</v>
      </c>
      <c r="J90" s="1">
        <v>0</v>
      </c>
    </row>
    <row r="91" spans="1:11" x14ac:dyDescent="0.35">
      <c r="A91">
        <v>683045</v>
      </c>
      <c r="B91">
        <v>1866994</v>
      </c>
      <c r="C91" t="str">
        <f>"HARMONY SCIENCE ACADEMY - HOUSTON"</f>
        <v>HARMONY SCIENCE ACADEMY - HOUSTON</v>
      </c>
      <c r="D91" t="s">
        <v>11</v>
      </c>
      <c r="E91" t="s">
        <v>106</v>
      </c>
      <c r="F91" t="s">
        <v>15</v>
      </c>
      <c r="G91">
        <v>77096</v>
      </c>
      <c r="H91">
        <v>2009</v>
      </c>
      <c r="I91" s="1">
        <v>0</v>
      </c>
      <c r="J91" s="1">
        <v>0</v>
      </c>
    </row>
    <row r="92" spans="1:11" x14ac:dyDescent="0.35">
      <c r="A92">
        <v>682084</v>
      </c>
      <c r="B92">
        <v>1873109</v>
      </c>
      <c r="C92" t="str">
        <f>"HARMONY SCIENCE ACADEMY - WACO"</f>
        <v>HARMONY SCIENCE ACADEMY - WACO</v>
      </c>
      <c r="D92" t="s">
        <v>11</v>
      </c>
      <c r="E92" t="s">
        <v>107</v>
      </c>
      <c r="F92" t="s">
        <v>71</v>
      </c>
      <c r="G92">
        <v>76710</v>
      </c>
      <c r="H92">
        <v>2009</v>
      </c>
      <c r="I92" s="1">
        <v>551.62</v>
      </c>
      <c r="J92" s="1">
        <v>689.52</v>
      </c>
    </row>
    <row r="93" spans="1:11" x14ac:dyDescent="0.35">
      <c r="A93">
        <v>682084</v>
      </c>
      <c r="B93">
        <v>1873157</v>
      </c>
      <c r="C93" t="str">
        <f>"HARMONY SCIENCE ACADEMY - WACO"</f>
        <v>HARMONY SCIENCE ACADEMY - WACO</v>
      </c>
      <c r="D93" t="s">
        <v>11</v>
      </c>
      <c r="E93" t="s">
        <v>107</v>
      </c>
      <c r="F93" t="s">
        <v>71</v>
      </c>
      <c r="G93">
        <v>76710</v>
      </c>
      <c r="H93">
        <v>2009</v>
      </c>
      <c r="I93" s="1">
        <v>1670.11</v>
      </c>
      <c r="J93" s="1">
        <v>2087.64</v>
      </c>
    </row>
    <row r="94" spans="1:11" x14ac:dyDescent="0.35">
      <c r="A94">
        <v>686697</v>
      </c>
      <c r="B94">
        <v>1878834</v>
      </c>
      <c r="C94" t="str">
        <f>"HARTLEY SCHOOL"</f>
        <v>HARTLEY SCHOOL</v>
      </c>
      <c r="D94" t="s">
        <v>11</v>
      </c>
      <c r="E94" t="s">
        <v>108</v>
      </c>
      <c r="F94" t="s">
        <v>109</v>
      </c>
      <c r="G94">
        <v>79044</v>
      </c>
      <c r="H94">
        <v>2009</v>
      </c>
      <c r="I94" s="1">
        <v>5311.97</v>
      </c>
      <c r="J94" s="1">
        <v>6639.96</v>
      </c>
      <c r="K94" s="1">
        <v>5311.97</v>
      </c>
    </row>
    <row r="95" spans="1:11" x14ac:dyDescent="0.35">
      <c r="A95">
        <v>693110</v>
      </c>
      <c r="B95">
        <v>1904664</v>
      </c>
      <c r="C95" t="str">
        <f>"HOLY CROSS CATHOLIC ACADEMY"</f>
        <v>HOLY CROSS CATHOLIC ACADEMY</v>
      </c>
      <c r="D95" t="s">
        <v>11</v>
      </c>
      <c r="E95" t="s">
        <v>110</v>
      </c>
      <c r="F95" t="s">
        <v>111</v>
      </c>
      <c r="G95">
        <v>79110</v>
      </c>
      <c r="H95">
        <v>2009</v>
      </c>
      <c r="I95" s="1">
        <v>0</v>
      </c>
      <c r="J95" s="1">
        <v>0</v>
      </c>
    </row>
    <row r="96" spans="1:11" x14ac:dyDescent="0.35">
      <c r="A96">
        <v>647811</v>
      </c>
      <c r="B96">
        <v>1782730</v>
      </c>
      <c r="C96" t="str">
        <f>"HOLY CROSS ELEMENTARY SCHOOL"</f>
        <v>HOLY CROSS ELEMENTARY SCHOOL</v>
      </c>
      <c r="D96" t="s">
        <v>11</v>
      </c>
      <c r="E96" t="s">
        <v>112</v>
      </c>
      <c r="F96" t="s">
        <v>113</v>
      </c>
      <c r="G96">
        <v>77414</v>
      </c>
      <c r="H96">
        <v>2009</v>
      </c>
      <c r="I96" s="1">
        <v>214.86</v>
      </c>
      <c r="J96" s="1">
        <v>429.72</v>
      </c>
      <c r="K96" s="1">
        <v>210</v>
      </c>
    </row>
    <row r="97" spans="1:11" x14ac:dyDescent="0.35">
      <c r="A97">
        <v>680810</v>
      </c>
      <c r="B97">
        <v>1861695</v>
      </c>
      <c r="C97" t="str">
        <f>"HOLY CROSS JR-SR HIGH SCHOOL"</f>
        <v>HOLY CROSS JR-SR HIGH SCHOOL</v>
      </c>
      <c r="D97" t="s">
        <v>11</v>
      </c>
      <c r="E97" t="s">
        <v>114</v>
      </c>
      <c r="F97" t="s">
        <v>38</v>
      </c>
      <c r="G97">
        <v>78228</v>
      </c>
      <c r="H97">
        <v>2009</v>
      </c>
      <c r="I97" s="1">
        <v>171</v>
      </c>
      <c r="J97" s="1">
        <v>190</v>
      </c>
      <c r="K97" s="1">
        <v>171</v>
      </c>
    </row>
    <row r="98" spans="1:11" x14ac:dyDescent="0.35">
      <c r="A98">
        <v>680810</v>
      </c>
      <c r="B98">
        <v>1861656</v>
      </c>
      <c r="C98" t="str">
        <f>"HOLY CROSS JR-SR HIGH SCHOOL"</f>
        <v>HOLY CROSS JR-SR HIGH SCHOOL</v>
      </c>
      <c r="D98" t="s">
        <v>11</v>
      </c>
      <c r="E98" t="s">
        <v>114</v>
      </c>
      <c r="F98" t="s">
        <v>38</v>
      </c>
      <c r="G98">
        <v>78228</v>
      </c>
      <c r="H98">
        <v>2009</v>
      </c>
      <c r="I98" s="1">
        <v>1299.3800000000001</v>
      </c>
      <c r="J98" s="1">
        <v>1443.75</v>
      </c>
      <c r="K98" s="1">
        <v>1299.3800000000001</v>
      </c>
    </row>
    <row r="99" spans="1:11" x14ac:dyDescent="0.35">
      <c r="A99">
        <v>680810</v>
      </c>
      <c r="B99">
        <v>1861683</v>
      </c>
      <c r="C99" t="str">
        <f>"HOLY CROSS JR-SR HIGH SCHOOL"</f>
        <v>HOLY CROSS JR-SR HIGH SCHOOL</v>
      </c>
      <c r="D99" t="s">
        <v>11</v>
      </c>
      <c r="E99" t="s">
        <v>114</v>
      </c>
      <c r="F99" t="s">
        <v>38</v>
      </c>
      <c r="G99">
        <v>78228</v>
      </c>
      <c r="H99">
        <v>2009</v>
      </c>
      <c r="I99" s="1">
        <v>5785.34</v>
      </c>
      <c r="J99" s="1">
        <v>6428.16</v>
      </c>
      <c r="K99" s="1">
        <v>5785.34</v>
      </c>
    </row>
    <row r="100" spans="1:11" x14ac:dyDescent="0.35">
      <c r="A100">
        <v>680810</v>
      </c>
      <c r="B100">
        <v>1861647</v>
      </c>
      <c r="C100" t="str">
        <f>"HOLY CROSS JR-SR HIGH SCHOOL"</f>
        <v>HOLY CROSS JR-SR HIGH SCHOOL</v>
      </c>
      <c r="D100" t="s">
        <v>11</v>
      </c>
      <c r="E100" t="s">
        <v>114</v>
      </c>
      <c r="F100" t="s">
        <v>38</v>
      </c>
      <c r="G100">
        <v>78228</v>
      </c>
      <c r="H100">
        <v>2009</v>
      </c>
      <c r="I100" s="1">
        <v>7560</v>
      </c>
      <c r="J100" s="1">
        <v>8400</v>
      </c>
      <c r="K100" s="1">
        <v>7560</v>
      </c>
    </row>
    <row r="101" spans="1:11" x14ac:dyDescent="0.35">
      <c r="A101">
        <v>668574</v>
      </c>
      <c r="B101">
        <v>1824853</v>
      </c>
      <c r="C101" t="str">
        <f>"HOLY FAMILY OF NAZARETH SCHOOL"</f>
        <v>HOLY FAMILY OF NAZARETH SCHOOL</v>
      </c>
      <c r="D101" t="s">
        <v>11</v>
      </c>
      <c r="E101" t="s">
        <v>115</v>
      </c>
      <c r="F101" t="s">
        <v>116</v>
      </c>
      <c r="G101">
        <v>75062</v>
      </c>
      <c r="H101">
        <v>2009</v>
      </c>
      <c r="I101" s="1">
        <v>570</v>
      </c>
      <c r="J101" s="1">
        <v>1140</v>
      </c>
      <c r="K101" s="1">
        <v>570</v>
      </c>
    </row>
    <row r="102" spans="1:11" x14ac:dyDescent="0.35">
      <c r="A102">
        <v>667614</v>
      </c>
      <c r="B102">
        <v>1829714</v>
      </c>
      <c r="C102" t="str">
        <f>"HOLY GHOST SCHOOL"</f>
        <v>HOLY GHOST SCHOOL</v>
      </c>
      <c r="D102" t="s">
        <v>11</v>
      </c>
      <c r="E102" t="s">
        <v>117</v>
      </c>
      <c r="F102" t="s">
        <v>15</v>
      </c>
      <c r="G102">
        <v>77081</v>
      </c>
      <c r="H102">
        <v>2009</v>
      </c>
      <c r="I102" s="1">
        <v>343.78</v>
      </c>
      <c r="J102" s="1">
        <v>429.72</v>
      </c>
      <c r="K102" s="1">
        <v>343.78</v>
      </c>
    </row>
    <row r="103" spans="1:11" x14ac:dyDescent="0.35">
      <c r="A103">
        <v>684455</v>
      </c>
      <c r="B103">
        <v>1871673</v>
      </c>
      <c r="C103" t="str">
        <f>"HOLY NAME SCHOOL"</f>
        <v>HOLY NAME SCHOOL</v>
      </c>
      <c r="D103" t="s">
        <v>11</v>
      </c>
      <c r="E103" t="s">
        <v>118</v>
      </c>
      <c r="F103" t="s">
        <v>38</v>
      </c>
      <c r="G103">
        <v>78223</v>
      </c>
      <c r="H103">
        <v>2009</v>
      </c>
      <c r="I103" s="1">
        <v>482.4</v>
      </c>
      <c r="J103" s="1">
        <v>964.8</v>
      </c>
      <c r="K103" s="1">
        <v>482.4</v>
      </c>
    </row>
    <row r="104" spans="1:11" x14ac:dyDescent="0.35">
      <c r="A104">
        <v>675383</v>
      </c>
      <c r="B104">
        <v>1852373</v>
      </c>
      <c r="C104" t="str">
        <f>"HOLY NAME SCHOOL"</f>
        <v>HOLY NAME SCHOOL</v>
      </c>
      <c r="D104" t="s">
        <v>11</v>
      </c>
      <c r="E104" t="s">
        <v>119</v>
      </c>
      <c r="F104" t="s">
        <v>15</v>
      </c>
      <c r="G104">
        <v>77009</v>
      </c>
      <c r="H104">
        <v>2009</v>
      </c>
      <c r="I104" s="1">
        <v>0</v>
      </c>
      <c r="J104" s="1">
        <v>0</v>
      </c>
    </row>
    <row r="105" spans="1:11" x14ac:dyDescent="0.35">
      <c r="A105">
        <v>687373</v>
      </c>
      <c r="B105">
        <v>1881583</v>
      </c>
      <c r="C105" t="str">
        <f>"HOLY NAME SCHOOL"</f>
        <v>HOLY NAME SCHOOL</v>
      </c>
      <c r="D105" t="s">
        <v>11</v>
      </c>
      <c r="E105" t="s">
        <v>118</v>
      </c>
      <c r="F105" t="s">
        <v>38</v>
      </c>
      <c r="G105">
        <v>78223</v>
      </c>
      <c r="H105">
        <v>2009</v>
      </c>
      <c r="I105" s="1">
        <v>1800</v>
      </c>
      <c r="J105" s="1">
        <v>3600</v>
      </c>
    </row>
    <row r="106" spans="1:11" x14ac:dyDescent="0.35">
      <c r="A106">
        <v>675388</v>
      </c>
      <c r="B106">
        <v>1852553</v>
      </c>
      <c r="C106" t="str">
        <f>"HOLY ROSARY SCHOOL"</f>
        <v>HOLY ROSARY SCHOOL</v>
      </c>
      <c r="D106" t="s">
        <v>11</v>
      </c>
      <c r="E106" t="s">
        <v>120</v>
      </c>
      <c r="F106" t="s">
        <v>121</v>
      </c>
      <c r="G106">
        <v>77471</v>
      </c>
      <c r="H106">
        <v>2009</v>
      </c>
      <c r="I106" s="1">
        <v>468.48</v>
      </c>
      <c r="J106" s="1">
        <v>1171.2</v>
      </c>
      <c r="K106" s="1">
        <v>468.48</v>
      </c>
    </row>
    <row r="107" spans="1:11" x14ac:dyDescent="0.35">
      <c r="A107">
        <v>670804</v>
      </c>
      <c r="B107">
        <v>1830810</v>
      </c>
      <c r="C107" t="str">
        <f>"HOLY TRINITY ELEMENTARY SCHOOL"</f>
        <v>HOLY TRINITY ELEMENTARY SCHOOL</v>
      </c>
      <c r="D107" t="s">
        <v>11</v>
      </c>
      <c r="E107" t="s">
        <v>122</v>
      </c>
      <c r="F107" t="s">
        <v>20</v>
      </c>
      <c r="G107">
        <v>75219</v>
      </c>
      <c r="H107">
        <v>2009</v>
      </c>
      <c r="I107" s="1">
        <v>2970</v>
      </c>
      <c r="J107" s="1">
        <v>4950</v>
      </c>
      <c r="K107" s="1">
        <v>990</v>
      </c>
    </row>
    <row r="108" spans="1:11" x14ac:dyDescent="0.35">
      <c r="A108">
        <v>657830</v>
      </c>
      <c r="B108">
        <v>1799418</v>
      </c>
      <c r="C108" t="str">
        <f>"HOUSTON ALTERNATIVE PREPARATORY CHARTER SCHOOL"</f>
        <v>HOUSTON ALTERNATIVE PREPARATORY CHARTER SCHOOL</v>
      </c>
      <c r="D108" t="s">
        <v>11</v>
      </c>
      <c r="E108" t="s">
        <v>123</v>
      </c>
      <c r="F108" t="s">
        <v>15</v>
      </c>
      <c r="G108">
        <v>77035</v>
      </c>
      <c r="H108">
        <v>2009</v>
      </c>
      <c r="I108" s="1">
        <v>896.4</v>
      </c>
      <c r="J108" s="1">
        <v>996</v>
      </c>
    </row>
    <row r="109" spans="1:11" x14ac:dyDescent="0.35">
      <c r="A109">
        <v>653206</v>
      </c>
      <c r="B109">
        <v>1790341</v>
      </c>
      <c r="C109" t="str">
        <f>"HOUSTON HEIGHTS LEARNING ACADEMY"</f>
        <v>HOUSTON HEIGHTS LEARNING ACADEMY</v>
      </c>
      <c r="D109" t="s">
        <v>11</v>
      </c>
      <c r="E109" t="s">
        <v>124</v>
      </c>
      <c r="F109" t="s">
        <v>15</v>
      </c>
      <c r="G109">
        <v>77007</v>
      </c>
      <c r="H109">
        <v>2009</v>
      </c>
      <c r="I109" s="1">
        <v>1128.92</v>
      </c>
      <c r="J109" s="1">
        <v>1254.3599999999999</v>
      </c>
    </row>
    <row r="110" spans="1:11" x14ac:dyDescent="0.35">
      <c r="A110">
        <v>662919</v>
      </c>
      <c r="B110">
        <v>1810432</v>
      </c>
      <c r="C110" t="str">
        <f>"INCARNATE WORD ACADEMY SCHOOL"</f>
        <v>INCARNATE WORD ACADEMY SCHOOL</v>
      </c>
      <c r="D110" t="s">
        <v>11</v>
      </c>
      <c r="E110" t="s">
        <v>125</v>
      </c>
      <c r="F110" t="s">
        <v>126</v>
      </c>
      <c r="G110">
        <v>78520</v>
      </c>
      <c r="H110">
        <v>2009</v>
      </c>
      <c r="I110" s="1">
        <v>253.56</v>
      </c>
      <c r="J110" s="1">
        <v>507.12</v>
      </c>
      <c r="K110" s="1">
        <v>253.56</v>
      </c>
    </row>
    <row r="111" spans="1:11" x14ac:dyDescent="0.35">
      <c r="A111">
        <v>683326</v>
      </c>
      <c r="B111">
        <v>1868121</v>
      </c>
      <c r="C111" t="str">
        <f>"JAMES L COLLINS CATFH SCHOOL"</f>
        <v>JAMES L COLLINS CATFH SCHOOL</v>
      </c>
      <c r="D111" t="s">
        <v>11</v>
      </c>
      <c r="E111" t="s">
        <v>127</v>
      </c>
      <c r="F111" t="s">
        <v>128</v>
      </c>
      <c r="G111">
        <v>75110</v>
      </c>
      <c r="H111">
        <v>2009</v>
      </c>
      <c r="I111" s="1">
        <v>240</v>
      </c>
      <c r="J111" s="1">
        <v>600</v>
      </c>
      <c r="K111" s="1">
        <v>240</v>
      </c>
    </row>
    <row r="112" spans="1:11" x14ac:dyDescent="0.35">
      <c r="A112">
        <v>653606</v>
      </c>
      <c r="B112">
        <v>1791350</v>
      </c>
      <c r="C112" t="str">
        <f>"JAMIE'S HOUSE CHARTER SCHOOL"</f>
        <v>JAMIE'S HOUSE CHARTER SCHOOL</v>
      </c>
      <c r="D112" t="s">
        <v>11</v>
      </c>
      <c r="E112" t="s">
        <v>129</v>
      </c>
      <c r="F112" t="s">
        <v>15</v>
      </c>
      <c r="G112">
        <v>77090</v>
      </c>
      <c r="H112">
        <v>2009</v>
      </c>
      <c r="I112" s="1">
        <v>1134</v>
      </c>
      <c r="J112" s="1">
        <v>1260</v>
      </c>
    </row>
    <row r="113" spans="1:11" x14ac:dyDescent="0.35">
      <c r="A113">
        <v>653606</v>
      </c>
      <c r="B113">
        <v>1791353</v>
      </c>
      <c r="C113" t="str">
        <f>"JAMIE'S HOUSE CHARTER SCHOOL"</f>
        <v>JAMIE'S HOUSE CHARTER SCHOOL</v>
      </c>
      <c r="D113" t="s">
        <v>11</v>
      </c>
      <c r="E113" t="s">
        <v>129</v>
      </c>
      <c r="F113" t="s">
        <v>15</v>
      </c>
      <c r="G113">
        <v>77090</v>
      </c>
      <c r="H113">
        <v>2009</v>
      </c>
      <c r="I113" s="1">
        <v>5248.8</v>
      </c>
      <c r="J113" s="1">
        <v>5832</v>
      </c>
      <c r="K113" s="1">
        <v>4307.54</v>
      </c>
    </row>
    <row r="114" spans="1:11" x14ac:dyDescent="0.35">
      <c r="A114">
        <v>682182</v>
      </c>
      <c r="B114">
        <v>1866189</v>
      </c>
      <c r="C114" t="str">
        <f>"JARRELL INDEP SCHOOL DISTRICT"</f>
        <v>JARRELL INDEP SCHOOL DISTRICT</v>
      </c>
      <c r="D114" t="s">
        <v>11</v>
      </c>
      <c r="E114" t="s">
        <v>130</v>
      </c>
      <c r="F114" t="s">
        <v>131</v>
      </c>
      <c r="G114">
        <v>76537</v>
      </c>
      <c r="H114">
        <v>2009</v>
      </c>
      <c r="I114" s="1">
        <v>2697.3</v>
      </c>
      <c r="J114" s="1">
        <v>3645</v>
      </c>
      <c r="K114" s="1">
        <v>740</v>
      </c>
    </row>
    <row r="115" spans="1:11" x14ac:dyDescent="0.35">
      <c r="A115">
        <v>682182</v>
      </c>
      <c r="B115">
        <v>1865623</v>
      </c>
      <c r="C115" t="str">
        <f>"JARRELL INDEP SCHOOL DISTRICT"</f>
        <v>JARRELL INDEP SCHOOL DISTRICT</v>
      </c>
      <c r="D115" t="s">
        <v>11</v>
      </c>
      <c r="E115" t="s">
        <v>130</v>
      </c>
      <c r="F115" t="s">
        <v>131</v>
      </c>
      <c r="G115">
        <v>76537</v>
      </c>
      <c r="H115">
        <v>2009</v>
      </c>
      <c r="I115" s="1">
        <v>20424</v>
      </c>
      <c r="J115" s="1">
        <v>27600</v>
      </c>
      <c r="K115" s="1">
        <v>20424</v>
      </c>
    </row>
    <row r="116" spans="1:11" x14ac:dyDescent="0.35">
      <c r="A116">
        <v>682182</v>
      </c>
      <c r="B116">
        <v>1865591</v>
      </c>
      <c r="C116" t="str">
        <f>"JARRELL INDEP SCHOOL DISTRICT"</f>
        <v>JARRELL INDEP SCHOOL DISTRICT</v>
      </c>
      <c r="D116" t="s">
        <v>11</v>
      </c>
      <c r="E116" t="s">
        <v>130</v>
      </c>
      <c r="F116" t="s">
        <v>131</v>
      </c>
      <c r="G116">
        <v>76537</v>
      </c>
      <c r="H116">
        <v>2009</v>
      </c>
      <c r="I116" s="1">
        <v>5772</v>
      </c>
      <c r="J116" s="1">
        <v>7800</v>
      </c>
      <c r="K116" s="1">
        <v>5259.06</v>
      </c>
    </row>
    <row r="117" spans="1:11" x14ac:dyDescent="0.35">
      <c r="A117">
        <v>673675</v>
      </c>
      <c r="B117">
        <v>1849378</v>
      </c>
      <c r="C117" t="str">
        <f>"JESUIT COLLEGE PREP SCHOOL"</f>
        <v>JESUIT COLLEGE PREP SCHOOL</v>
      </c>
      <c r="D117" t="s">
        <v>11</v>
      </c>
      <c r="E117" t="s">
        <v>132</v>
      </c>
      <c r="F117" t="s">
        <v>20</v>
      </c>
      <c r="G117">
        <v>75244</v>
      </c>
      <c r="H117">
        <v>2009</v>
      </c>
      <c r="I117" s="1">
        <v>1848</v>
      </c>
      <c r="J117" s="1">
        <v>4620</v>
      </c>
      <c r="K117" s="1">
        <v>1848</v>
      </c>
    </row>
    <row r="118" spans="1:11" x14ac:dyDescent="0.35">
      <c r="A118">
        <v>673675</v>
      </c>
      <c r="B118">
        <v>1849268</v>
      </c>
      <c r="C118" t="str">
        <f>"JESUIT COLLEGE PREP SCHOOL"</f>
        <v>JESUIT COLLEGE PREP SCHOOL</v>
      </c>
      <c r="D118" t="s">
        <v>11</v>
      </c>
      <c r="E118" t="s">
        <v>132</v>
      </c>
      <c r="F118" t="s">
        <v>20</v>
      </c>
      <c r="G118">
        <v>75244</v>
      </c>
      <c r="H118">
        <v>2009</v>
      </c>
      <c r="I118" s="1">
        <v>10560</v>
      </c>
      <c r="J118" s="1">
        <v>26400</v>
      </c>
      <c r="K118" s="1">
        <v>10080</v>
      </c>
    </row>
    <row r="119" spans="1:11" x14ac:dyDescent="0.35">
      <c r="A119">
        <v>675398</v>
      </c>
      <c r="B119">
        <v>1852980</v>
      </c>
      <c r="C119" t="str">
        <f>"JOHN PAUL II SCHOOL"</f>
        <v>JOHN PAUL II SCHOOL</v>
      </c>
      <c r="D119" t="s">
        <v>11</v>
      </c>
      <c r="E119" t="s">
        <v>133</v>
      </c>
      <c r="F119" t="s">
        <v>15</v>
      </c>
      <c r="G119">
        <v>77077</v>
      </c>
      <c r="H119">
        <v>2009</v>
      </c>
      <c r="I119" s="1">
        <v>2343.36</v>
      </c>
      <c r="J119" s="1">
        <v>5858.4</v>
      </c>
      <c r="K119" s="1">
        <v>2343.36</v>
      </c>
    </row>
    <row r="120" spans="1:11" x14ac:dyDescent="0.35">
      <c r="A120">
        <v>690532</v>
      </c>
      <c r="B120">
        <v>1892148</v>
      </c>
      <c r="C120" t="str">
        <f>"JOHN PAUL ll HIGH SCHOOL"</f>
        <v>JOHN PAUL ll HIGH SCHOOL</v>
      </c>
      <c r="D120" t="s">
        <v>11</v>
      </c>
      <c r="E120" t="s">
        <v>134</v>
      </c>
      <c r="F120" t="s">
        <v>135</v>
      </c>
      <c r="G120">
        <v>75075</v>
      </c>
      <c r="H120">
        <v>2009</v>
      </c>
      <c r="I120" s="1">
        <v>20280</v>
      </c>
      <c r="J120" s="1">
        <v>50700</v>
      </c>
      <c r="K120" s="1">
        <v>20280</v>
      </c>
    </row>
    <row r="121" spans="1:11" x14ac:dyDescent="0.35">
      <c r="A121">
        <v>685972</v>
      </c>
      <c r="B121">
        <v>1876437</v>
      </c>
      <c r="C121" t="str">
        <f>"JOHN PAUL ll HIGH SCHOOL"</f>
        <v>JOHN PAUL ll HIGH SCHOOL</v>
      </c>
      <c r="D121" t="s">
        <v>11</v>
      </c>
      <c r="E121" t="s">
        <v>134</v>
      </c>
      <c r="F121" t="s">
        <v>135</v>
      </c>
      <c r="G121">
        <v>75075</v>
      </c>
      <c r="H121">
        <v>2009</v>
      </c>
      <c r="I121" s="1">
        <v>0</v>
      </c>
      <c r="J121" s="1">
        <v>0</v>
      </c>
    </row>
    <row r="122" spans="1:11" x14ac:dyDescent="0.35">
      <c r="A122">
        <v>694527</v>
      </c>
      <c r="B122">
        <v>1907444</v>
      </c>
      <c r="C122" t="str">
        <f>"KIPP ASPIRE ACADEMY"</f>
        <v>KIPP ASPIRE ACADEMY</v>
      </c>
      <c r="D122" t="s">
        <v>11</v>
      </c>
      <c r="E122" t="s">
        <v>136</v>
      </c>
      <c r="F122" t="s">
        <v>38</v>
      </c>
      <c r="G122">
        <v>78201</v>
      </c>
      <c r="H122">
        <v>2009</v>
      </c>
      <c r="I122" s="1">
        <v>0</v>
      </c>
      <c r="J122" s="1">
        <v>0</v>
      </c>
    </row>
    <row r="123" spans="1:11" x14ac:dyDescent="0.35">
      <c r="A123">
        <v>684347</v>
      </c>
      <c r="B123">
        <v>1871143</v>
      </c>
      <c r="C123" t="str">
        <f>"KIPP DALLAS-FORT WORTH INC"</f>
        <v>KIPP DALLAS-FORT WORTH INC</v>
      </c>
      <c r="D123" t="s">
        <v>11</v>
      </c>
      <c r="E123" t="s">
        <v>137</v>
      </c>
      <c r="F123" t="s">
        <v>20</v>
      </c>
      <c r="G123">
        <v>75216</v>
      </c>
      <c r="H123">
        <v>2009</v>
      </c>
      <c r="I123" s="1">
        <v>0</v>
      </c>
      <c r="J123" s="1">
        <v>0</v>
      </c>
    </row>
    <row r="124" spans="1:11" x14ac:dyDescent="0.35">
      <c r="A124">
        <v>684347</v>
      </c>
      <c r="B124">
        <v>1871142</v>
      </c>
      <c r="C124" t="str">
        <f>"KIPP DALLAS-FORT WORTH INC"</f>
        <v>KIPP DALLAS-FORT WORTH INC</v>
      </c>
      <c r="D124" t="s">
        <v>11</v>
      </c>
      <c r="E124" t="s">
        <v>137</v>
      </c>
      <c r="F124" t="s">
        <v>20</v>
      </c>
      <c r="G124">
        <v>75216</v>
      </c>
      <c r="H124">
        <v>2009</v>
      </c>
      <c r="I124" s="1">
        <v>7070.55</v>
      </c>
      <c r="J124" s="1">
        <v>7877.76</v>
      </c>
      <c r="K124" s="1">
        <v>7070.55</v>
      </c>
    </row>
    <row r="125" spans="1:11" x14ac:dyDescent="0.35">
      <c r="A125">
        <v>684347</v>
      </c>
      <c r="B125">
        <v>1871145</v>
      </c>
      <c r="C125" t="str">
        <f>"KIPP DALLAS-FORT WORTH INC"</f>
        <v>KIPP DALLAS-FORT WORTH INC</v>
      </c>
      <c r="D125" t="s">
        <v>11</v>
      </c>
      <c r="E125" t="s">
        <v>137</v>
      </c>
      <c r="F125" t="s">
        <v>20</v>
      </c>
      <c r="G125">
        <v>75216</v>
      </c>
      <c r="H125">
        <v>2009</v>
      </c>
      <c r="I125" s="1">
        <v>2296.84</v>
      </c>
      <c r="J125" s="1">
        <v>2552.04</v>
      </c>
      <c r="K125" s="1">
        <v>2296.84</v>
      </c>
    </row>
    <row r="126" spans="1:11" x14ac:dyDescent="0.35">
      <c r="A126">
        <v>669392</v>
      </c>
      <c r="B126">
        <v>1826899</v>
      </c>
      <c r="C126" t="str">
        <f>"LA AMISTAD LOVE &amp; LEARNING ACADEMY"</f>
        <v>LA AMISTAD LOVE &amp; LEARNING ACADEMY</v>
      </c>
      <c r="D126" t="s">
        <v>11</v>
      </c>
      <c r="E126" t="s">
        <v>138</v>
      </c>
      <c r="F126" t="s">
        <v>15</v>
      </c>
      <c r="G126">
        <v>77099</v>
      </c>
      <c r="H126">
        <v>2009</v>
      </c>
      <c r="I126" s="1">
        <v>1296</v>
      </c>
      <c r="J126" s="1">
        <v>1440</v>
      </c>
      <c r="K126" s="1">
        <v>391.49</v>
      </c>
    </row>
    <row r="127" spans="1:11" x14ac:dyDescent="0.35">
      <c r="A127">
        <v>669482</v>
      </c>
      <c r="B127">
        <v>1827118</v>
      </c>
      <c r="C127" t="str">
        <f>"LA AMISTAD LOVE &amp; LEARNING ACADEMY"</f>
        <v>LA AMISTAD LOVE &amp; LEARNING ACADEMY</v>
      </c>
      <c r="D127" t="s">
        <v>11</v>
      </c>
      <c r="E127" t="s">
        <v>139</v>
      </c>
      <c r="F127" t="s">
        <v>15</v>
      </c>
      <c r="G127">
        <v>77096</v>
      </c>
      <c r="H127">
        <v>2009</v>
      </c>
      <c r="I127" s="1">
        <v>648</v>
      </c>
      <c r="J127" s="1">
        <v>720</v>
      </c>
    </row>
    <row r="128" spans="1:11" x14ac:dyDescent="0.35">
      <c r="A128">
        <v>669634</v>
      </c>
      <c r="B128">
        <v>1827564</v>
      </c>
      <c r="C128" t="str">
        <f>"LA AMISTAD LOVE &amp; LEARNING ACADEMY"</f>
        <v>LA AMISTAD LOVE &amp; LEARNING ACADEMY</v>
      </c>
      <c r="D128" t="s">
        <v>11</v>
      </c>
      <c r="E128" t="s">
        <v>140</v>
      </c>
      <c r="F128" t="s">
        <v>15</v>
      </c>
      <c r="G128">
        <v>77702</v>
      </c>
      <c r="H128">
        <v>2009</v>
      </c>
      <c r="I128" s="1">
        <v>648</v>
      </c>
      <c r="J128" s="1">
        <v>720</v>
      </c>
      <c r="K128" s="1">
        <v>265.26</v>
      </c>
    </row>
    <row r="129" spans="1:11" x14ac:dyDescent="0.35">
      <c r="A129">
        <v>669717</v>
      </c>
      <c r="B129">
        <v>1827803</v>
      </c>
      <c r="C129" t="str">
        <f>"LA AMISTAD LOVE AND LEARNING ACADEMY"</f>
        <v>LA AMISTAD LOVE AND LEARNING ACADEMY</v>
      </c>
      <c r="D129" t="s">
        <v>11</v>
      </c>
      <c r="E129" t="s">
        <v>141</v>
      </c>
      <c r="F129" t="s">
        <v>142</v>
      </c>
      <c r="G129">
        <v>77489</v>
      </c>
      <c r="H129">
        <v>2009</v>
      </c>
      <c r="I129" s="1">
        <v>648</v>
      </c>
      <c r="J129" s="1">
        <v>720</v>
      </c>
    </row>
    <row r="130" spans="1:11" x14ac:dyDescent="0.35">
      <c r="A130">
        <v>660129</v>
      </c>
      <c r="B130">
        <v>1804291</v>
      </c>
      <c r="C130" t="str">
        <f>"LINDSLEY PARK COMMUNITY SCHOOL"</f>
        <v>LINDSLEY PARK COMMUNITY SCHOOL</v>
      </c>
      <c r="D130" t="s">
        <v>11</v>
      </c>
      <c r="E130" t="s">
        <v>143</v>
      </c>
      <c r="F130" t="s">
        <v>20</v>
      </c>
      <c r="G130">
        <v>75223</v>
      </c>
      <c r="H130">
        <v>2009</v>
      </c>
      <c r="I130" s="1">
        <v>3791.33</v>
      </c>
      <c r="J130" s="1">
        <v>4739.16</v>
      </c>
      <c r="K130" s="1">
        <v>3791.33</v>
      </c>
    </row>
    <row r="131" spans="1:11" x14ac:dyDescent="0.35">
      <c r="A131">
        <v>655026</v>
      </c>
      <c r="B131">
        <v>1795632</v>
      </c>
      <c r="C131" t="str">
        <f>"MEYER PARK ELEMENTARY"</f>
        <v>MEYER PARK ELEMENTARY</v>
      </c>
      <c r="D131" t="s">
        <v>11</v>
      </c>
      <c r="E131" t="s">
        <v>144</v>
      </c>
      <c r="F131" t="s">
        <v>15</v>
      </c>
      <c r="G131">
        <v>77035</v>
      </c>
      <c r="H131">
        <v>2009</v>
      </c>
      <c r="I131" s="1">
        <v>2700</v>
      </c>
      <c r="J131" s="1">
        <v>3000</v>
      </c>
      <c r="K131" s="1">
        <v>1521.69</v>
      </c>
    </row>
    <row r="132" spans="1:11" x14ac:dyDescent="0.35">
      <c r="A132">
        <v>659471</v>
      </c>
      <c r="B132">
        <v>1802918</v>
      </c>
      <c r="C132" t="str">
        <f>"MEYERSVILLE INDEP SCHOOL DIST"</f>
        <v>MEYERSVILLE INDEP SCHOOL DIST</v>
      </c>
      <c r="D132" t="s">
        <v>11</v>
      </c>
      <c r="E132" t="s">
        <v>145</v>
      </c>
      <c r="F132" t="s">
        <v>146</v>
      </c>
      <c r="G132">
        <v>77974</v>
      </c>
      <c r="H132">
        <v>2009</v>
      </c>
      <c r="I132" s="1">
        <v>1457.28</v>
      </c>
      <c r="J132" s="1">
        <v>2428.8000000000002</v>
      </c>
      <c r="K132" s="1">
        <v>920.4</v>
      </c>
    </row>
    <row r="133" spans="1:11" x14ac:dyDescent="0.35">
      <c r="A133">
        <v>659471</v>
      </c>
      <c r="B133">
        <v>1802933</v>
      </c>
      <c r="C133" t="str">
        <f>"MEYERSVILLE INDEP SCHOOL DIST"</f>
        <v>MEYERSVILLE INDEP SCHOOL DIST</v>
      </c>
      <c r="D133" t="s">
        <v>11</v>
      </c>
      <c r="E133" t="s">
        <v>145</v>
      </c>
      <c r="F133" t="s">
        <v>146</v>
      </c>
      <c r="G133">
        <v>77974</v>
      </c>
      <c r="H133">
        <v>2009</v>
      </c>
      <c r="I133" s="1">
        <v>2232</v>
      </c>
      <c r="J133" s="1">
        <v>3720</v>
      </c>
      <c r="K133" s="1">
        <v>2232</v>
      </c>
    </row>
    <row r="134" spans="1:11" x14ac:dyDescent="0.35">
      <c r="A134">
        <v>677740</v>
      </c>
      <c r="B134">
        <v>1850739</v>
      </c>
      <c r="C134" t="str">
        <f>"MSGR KELLY CATHOLIC HIGH SCH"</f>
        <v>MSGR KELLY CATHOLIC HIGH SCH</v>
      </c>
      <c r="D134" t="s">
        <v>11</v>
      </c>
      <c r="E134" t="s">
        <v>147</v>
      </c>
      <c r="F134" t="s">
        <v>18</v>
      </c>
      <c r="G134">
        <v>77707</v>
      </c>
      <c r="H134">
        <v>2009</v>
      </c>
      <c r="I134" s="1">
        <v>0</v>
      </c>
      <c r="J134" s="1">
        <v>0</v>
      </c>
    </row>
    <row r="135" spans="1:11" x14ac:dyDescent="0.35">
      <c r="A135">
        <v>684079</v>
      </c>
      <c r="B135">
        <v>1870471</v>
      </c>
      <c r="C135" t="str">
        <f>"MUMFORD INDEP SCHOOL DISTRICT"</f>
        <v>MUMFORD INDEP SCHOOL DISTRICT</v>
      </c>
      <c r="D135" t="s">
        <v>11</v>
      </c>
      <c r="E135" t="s">
        <v>148</v>
      </c>
      <c r="F135" t="s">
        <v>149</v>
      </c>
      <c r="G135">
        <v>77867</v>
      </c>
      <c r="H135">
        <v>2009</v>
      </c>
      <c r="I135" s="1">
        <v>8448.2999999999993</v>
      </c>
      <c r="J135" s="1">
        <v>9387</v>
      </c>
      <c r="K135" s="1">
        <v>8448.26</v>
      </c>
    </row>
    <row r="136" spans="1:11" x14ac:dyDescent="0.35">
      <c r="A136">
        <v>684079</v>
      </c>
      <c r="B136">
        <v>1870503</v>
      </c>
      <c r="C136" t="str">
        <f>"MUMFORD INDEP SCHOOL DISTRICT"</f>
        <v>MUMFORD INDEP SCHOOL DISTRICT</v>
      </c>
      <c r="D136" t="s">
        <v>11</v>
      </c>
      <c r="E136" t="s">
        <v>148</v>
      </c>
      <c r="F136" t="s">
        <v>149</v>
      </c>
      <c r="G136">
        <v>77867</v>
      </c>
      <c r="H136">
        <v>2009</v>
      </c>
      <c r="I136" s="1">
        <v>4824.58</v>
      </c>
      <c r="J136" s="1">
        <v>5360.64</v>
      </c>
    </row>
    <row r="137" spans="1:11" x14ac:dyDescent="0.35">
      <c r="A137">
        <v>684079</v>
      </c>
      <c r="B137">
        <v>1870431</v>
      </c>
      <c r="C137" t="str">
        <f>"MUMFORD INDEP SCHOOL DISTRICT"</f>
        <v>MUMFORD INDEP SCHOOL DISTRICT</v>
      </c>
      <c r="D137" t="s">
        <v>11</v>
      </c>
      <c r="E137" t="s">
        <v>148</v>
      </c>
      <c r="F137" t="s">
        <v>149</v>
      </c>
      <c r="G137">
        <v>77867</v>
      </c>
      <c r="H137">
        <v>2009</v>
      </c>
      <c r="I137" s="1">
        <v>7099.16</v>
      </c>
      <c r="J137" s="1">
        <v>7887.96</v>
      </c>
      <c r="K137" s="1">
        <v>7099.16</v>
      </c>
    </row>
    <row r="138" spans="1:11" x14ac:dyDescent="0.35">
      <c r="A138">
        <v>673501</v>
      </c>
      <c r="B138">
        <v>1838897</v>
      </c>
      <c r="C138" t="str">
        <f>"MURCHISON ELEMENTARY"</f>
        <v>MURCHISON ELEMENTARY</v>
      </c>
      <c r="D138" t="s">
        <v>11</v>
      </c>
      <c r="E138" t="s">
        <v>150</v>
      </c>
      <c r="F138" t="s">
        <v>151</v>
      </c>
      <c r="G138">
        <v>75778</v>
      </c>
      <c r="H138">
        <v>2009</v>
      </c>
      <c r="I138" s="1">
        <v>2880</v>
      </c>
      <c r="J138" s="1">
        <v>3600</v>
      </c>
      <c r="K138" s="1">
        <v>2880</v>
      </c>
    </row>
    <row r="139" spans="1:11" x14ac:dyDescent="0.35">
      <c r="A139">
        <v>666765</v>
      </c>
      <c r="B139">
        <v>1820486</v>
      </c>
      <c r="C139" t="str">
        <f>"NORTH HILLS SCHOOL"</f>
        <v>NORTH HILLS SCHOOL</v>
      </c>
      <c r="D139" t="s">
        <v>11</v>
      </c>
      <c r="E139" t="s">
        <v>152</v>
      </c>
      <c r="F139" t="s">
        <v>20</v>
      </c>
      <c r="G139">
        <v>75039</v>
      </c>
      <c r="H139">
        <v>2009</v>
      </c>
      <c r="I139" s="1">
        <v>6864</v>
      </c>
      <c r="J139" s="1">
        <v>17160</v>
      </c>
      <c r="K139" s="1">
        <v>6864</v>
      </c>
    </row>
    <row r="140" spans="1:11" x14ac:dyDescent="0.35">
      <c r="A140">
        <v>666765</v>
      </c>
      <c r="B140">
        <v>1820443</v>
      </c>
      <c r="C140" t="str">
        <f>"NORTH HILLS SCHOOL"</f>
        <v>NORTH HILLS SCHOOL</v>
      </c>
      <c r="D140" t="s">
        <v>11</v>
      </c>
      <c r="E140" t="s">
        <v>152</v>
      </c>
      <c r="F140" t="s">
        <v>20</v>
      </c>
      <c r="G140">
        <v>75039</v>
      </c>
      <c r="H140">
        <v>2009</v>
      </c>
      <c r="I140" s="1">
        <v>8049.6</v>
      </c>
      <c r="J140" s="1">
        <v>20124</v>
      </c>
      <c r="K140" s="1">
        <v>8049.6</v>
      </c>
    </row>
    <row r="141" spans="1:11" x14ac:dyDescent="0.35">
      <c r="A141">
        <v>666765</v>
      </c>
      <c r="B141">
        <v>1820529</v>
      </c>
      <c r="C141" t="str">
        <f>"NORTH HILLS SCHOOL"</f>
        <v>NORTH HILLS SCHOOL</v>
      </c>
      <c r="D141" t="s">
        <v>11</v>
      </c>
      <c r="E141" t="s">
        <v>152</v>
      </c>
      <c r="F141" t="s">
        <v>20</v>
      </c>
      <c r="G141">
        <v>75039</v>
      </c>
      <c r="H141">
        <v>2009</v>
      </c>
      <c r="I141" s="1">
        <v>1515.84</v>
      </c>
      <c r="J141" s="1">
        <v>3789.6</v>
      </c>
      <c r="K141" s="1">
        <v>1515.84</v>
      </c>
    </row>
    <row r="142" spans="1:11" x14ac:dyDescent="0.35">
      <c r="A142">
        <v>666765</v>
      </c>
      <c r="B142">
        <v>1820405</v>
      </c>
      <c r="C142" t="str">
        <f>"NORTH HILLS SCHOOL"</f>
        <v>NORTH HILLS SCHOOL</v>
      </c>
      <c r="D142" t="s">
        <v>11</v>
      </c>
      <c r="E142" t="s">
        <v>152</v>
      </c>
      <c r="F142" t="s">
        <v>20</v>
      </c>
      <c r="G142">
        <v>75039</v>
      </c>
      <c r="H142">
        <v>2009</v>
      </c>
      <c r="I142" s="1">
        <v>5301.6</v>
      </c>
      <c r="J142" s="1">
        <v>13254</v>
      </c>
      <c r="K142" s="1">
        <v>5301.6</v>
      </c>
    </row>
    <row r="143" spans="1:11" x14ac:dyDescent="0.35">
      <c r="A143">
        <v>696071</v>
      </c>
      <c r="B143">
        <v>1913157</v>
      </c>
      <c r="C143" t="str">
        <f>"NORTH HOUSTON HIGH SCHOOL FOR BUSINESS"</f>
        <v>NORTH HOUSTON HIGH SCHOOL FOR BUSINESS</v>
      </c>
      <c r="D143" t="s">
        <v>11</v>
      </c>
      <c r="E143" t="s">
        <v>153</v>
      </c>
      <c r="F143" t="s">
        <v>15</v>
      </c>
      <c r="G143">
        <v>77091</v>
      </c>
      <c r="H143">
        <v>2009</v>
      </c>
      <c r="I143" s="1">
        <v>9698.4</v>
      </c>
      <c r="J143" s="1">
        <v>10776</v>
      </c>
    </row>
    <row r="144" spans="1:11" x14ac:dyDescent="0.35">
      <c r="A144">
        <v>664952</v>
      </c>
      <c r="B144">
        <v>1870796</v>
      </c>
      <c r="C144" t="str">
        <f>"NORTH WEST PREPARATORY ACADEMY CHARTER SCHOOL"</f>
        <v>NORTH WEST PREPARATORY ACADEMY CHARTER SCHOOL</v>
      </c>
      <c r="D144" t="s">
        <v>11</v>
      </c>
      <c r="E144" t="s">
        <v>154</v>
      </c>
      <c r="F144" t="s">
        <v>15</v>
      </c>
      <c r="G144">
        <v>77020</v>
      </c>
      <c r="H144">
        <v>2009</v>
      </c>
      <c r="I144" s="1">
        <v>2916</v>
      </c>
      <c r="J144" s="1">
        <v>3240</v>
      </c>
      <c r="K144" s="1">
        <v>2916</v>
      </c>
    </row>
    <row r="145" spans="1:11" x14ac:dyDescent="0.35">
      <c r="A145">
        <v>667164</v>
      </c>
      <c r="B145">
        <v>1821655</v>
      </c>
      <c r="C145" t="str">
        <f>"NOTRE DAME OF DALLAS SCHOOL"</f>
        <v>NOTRE DAME OF DALLAS SCHOOL</v>
      </c>
      <c r="D145" t="s">
        <v>11</v>
      </c>
      <c r="E145" t="s">
        <v>155</v>
      </c>
      <c r="F145" t="s">
        <v>20</v>
      </c>
      <c r="G145">
        <v>75204</v>
      </c>
      <c r="H145">
        <v>2009</v>
      </c>
      <c r="I145" s="1">
        <v>348</v>
      </c>
      <c r="J145" s="1">
        <v>696</v>
      </c>
      <c r="K145" s="1">
        <v>344.76</v>
      </c>
    </row>
    <row r="146" spans="1:11" x14ac:dyDescent="0.35">
      <c r="A146">
        <v>687507</v>
      </c>
      <c r="B146">
        <v>1882202</v>
      </c>
      <c r="C146" t="str">
        <f>"NOTRE DAME SCHOOL"</f>
        <v>NOTRE DAME SCHOOL</v>
      </c>
      <c r="D146" t="s">
        <v>11</v>
      </c>
      <c r="E146" t="s">
        <v>156</v>
      </c>
      <c r="F146" t="s">
        <v>157</v>
      </c>
      <c r="G146">
        <v>78028</v>
      </c>
      <c r="H146">
        <v>2009</v>
      </c>
      <c r="I146" s="1">
        <v>1200</v>
      </c>
      <c r="J146" s="1">
        <v>2400</v>
      </c>
      <c r="K146" s="1">
        <v>1200</v>
      </c>
    </row>
    <row r="147" spans="1:11" x14ac:dyDescent="0.35">
      <c r="A147">
        <v>660413</v>
      </c>
      <c r="B147">
        <v>1804749</v>
      </c>
      <c r="C147" t="str">
        <f>"NURSERY ELEMENTARY SCHOOL"</f>
        <v>NURSERY ELEMENTARY SCHOOL</v>
      </c>
      <c r="D147" t="s">
        <v>11</v>
      </c>
      <c r="E147" t="s">
        <v>158</v>
      </c>
      <c r="F147" t="s">
        <v>159</v>
      </c>
      <c r="G147">
        <v>77976</v>
      </c>
      <c r="H147">
        <v>2009</v>
      </c>
      <c r="I147" s="1">
        <v>5760</v>
      </c>
      <c r="J147" s="1">
        <v>9600</v>
      </c>
      <c r="K147" s="1">
        <v>5400</v>
      </c>
    </row>
    <row r="148" spans="1:11" x14ac:dyDescent="0.35">
      <c r="A148">
        <v>660413</v>
      </c>
      <c r="B148">
        <v>1806609</v>
      </c>
      <c r="C148" t="str">
        <f>"NURSERY ELEMENTARY SCHOOL"</f>
        <v>NURSERY ELEMENTARY SCHOOL</v>
      </c>
      <c r="D148" t="s">
        <v>11</v>
      </c>
      <c r="E148" t="s">
        <v>158</v>
      </c>
      <c r="F148" t="s">
        <v>159</v>
      </c>
      <c r="G148">
        <v>77976</v>
      </c>
      <c r="H148">
        <v>2009</v>
      </c>
      <c r="I148" s="1">
        <v>300.02</v>
      </c>
      <c r="J148" s="1">
        <v>500.04</v>
      </c>
    </row>
    <row r="149" spans="1:11" x14ac:dyDescent="0.35">
      <c r="A149">
        <v>660413</v>
      </c>
      <c r="B149">
        <v>1806606</v>
      </c>
      <c r="C149" t="str">
        <f>"NURSERY ELEMENTARY SCHOOL"</f>
        <v>NURSERY ELEMENTARY SCHOOL</v>
      </c>
      <c r="D149" t="s">
        <v>11</v>
      </c>
      <c r="E149" t="s">
        <v>158</v>
      </c>
      <c r="F149" t="s">
        <v>159</v>
      </c>
      <c r="G149">
        <v>77976</v>
      </c>
      <c r="H149">
        <v>2009</v>
      </c>
      <c r="I149" s="1">
        <v>180</v>
      </c>
      <c r="J149" s="1">
        <v>300</v>
      </c>
    </row>
    <row r="150" spans="1:11" x14ac:dyDescent="0.35">
      <c r="A150">
        <v>675407</v>
      </c>
      <c r="B150">
        <v>1854762</v>
      </c>
      <c r="C150" t="str">
        <f>"OUR LADY OF FATIMA SCHOOL-GALENA PARK"</f>
        <v>OUR LADY OF FATIMA SCHOOL-GALENA PARK</v>
      </c>
      <c r="D150" t="s">
        <v>11</v>
      </c>
      <c r="E150" t="s">
        <v>160</v>
      </c>
      <c r="F150" t="s">
        <v>161</v>
      </c>
      <c r="G150">
        <v>77547</v>
      </c>
      <c r="H150">
        <v>2009</v>
      </c>
      <c r="I150" s="1">
        <v>575.64</v>
      </c>
      <c r="J150" s="1">
        <v>959.4</v>
      </c>
      <c r="K150" s="1">
        <v>575.64</v>
      </c>
    </row>
    <row r="151" spans="1:11" x14ac:dyDescent="0.35">
      <c r="A151">
        <v>675410</v>
      </c>
      <c r="B151">
        <v>1854911</v>
      </c>
      <c r="C151" t="str">
        <f>"OUR LADY OF FATIMA SCHOOL-TEXAS CITY"</f>
        <v>OUR LADY OF FATIMA SCHOOL-TEXAS CITY</v>
      </c>
      <c r="D151" t="s">
        <v>11</v>
      </c>
      <c r="E151" t="s">
        <v>162</v>
      </c>
      <c r="F151" t="s">
        <v>163</v>
      </c>
      <c r="G151">
        <v>77590</v>
      </c>
      <c r="H151">
        <v>2009</v>
      </c>
      <c r="I151" s="1">
        <v>275.81</v>
      </c>
      <c r="J151" s="1">
        <v>689.52</v>
      </c>
      <c r="K151" s="1">
        <v>275.81</v>
      </c>
    </row>
    <row r="152" spans="1:11" x14ac:dyDescent="0.35">
      <c r="A152">
        <v>675414</v>
      </c>
      <c r="B152">
        <v>1855043</v>
      </c>
      <c r="C152" t="str">
        <f>"OUR LADY OF GUADALUPE SCHOOL"</f>
        <v>OUR LADY OF GUADALUPE SCHOOL</v>
      </c>
      <c r="D152" t="s">
        <v>11</v>
      </c>
      <c r="E152" t="s">
        <v>164</v>
      </c>
      <c r="F152" t="s">
        <v>15</v>
      </c>
      <c r="G152">
        <v>77003</v>
      </c>
      <c r="H152">
        <v>2009</v>
      </c>
      <c r="I152" s="1">
        <v>6942.62</v>
      </c>
      <c r="J152" s="1">
        <v>8678.2800000000007</v>
      </c>
      <c r="K152" s="1">
        <v>6942.62</v>
      </c>
    </row>
    <row r="153" spans="1:11" x14ac:dyDescent="0.35">
      <c r="A153">
        <v>675417</v>
      </c>
      <c r="B153">
        <v>1855219</v>
      </c>
      <c r="C153" t="str">
        <f>"OUR LADY OF MT. CARMEL SCHOOL"</f>
        <v>OUR LADY OF MT. CARMEL SCHOOL</v>
      </c>
      <c r="D153" t="s">
        <v>11</v>
      </c>
      <c r="E153" t="s">
        <v>165</v>
      </c>
      <c r="F153" t="s">
        <v>15</v>
      </c>
      <c r="G153">
        <v>77087</v>
      </c>
      <c r="H153">
        <v>2009</v>
      </c>
      <c r="I153" s="1">
        <v>719.64</v>
      </c>
      <c r="J153" s="1">
        <v>1199.4000000000001</v>
      </c>
      <c r="K153" s="1">
        <v>719.64</v>
      </c>
    </row>
    <row r="154" spans="1:11" x14ac:dyDescent="0.35">
      <c r="A154">
        <v>675453</v>
      </c>
      <c r="B154">
        <v>1855340</v>
      </c>
      <c r="C154" t="str">
        <f>"OUR LADY QUEEN OF PEACE"</f>
        <v>OUR LADY QUEEN OF PEACE</v>
      </c>
      <c r="D154" t="s">
        <v>11</v>
      </c>
      <c r="E154" t="s">
        <v>166</v>
      </c>
      <c r="F154" t="s">
        <v>167</v>
      </c>
      <c r="G154">
        <v>77531</v>
      </c>
      <c r="H154">
        <v>2009</v>
      </c>
      <c r="I154" s="1">
        <v>1950</v>
      </c>
      <c r="J154" s="1">
        <v>4875</v>
      </c>
      <c r="K154" s="1">
        <v>1950</v>
      </c>
    </row>
    <row r="155" spans="1:11" x14ac:dyDescent="0.35">
      <c r="A155">
        <v>688066</v>
      </c>
      <c r="B155">
        <v>1899152</v>
      </c>
      <c r="C155" t="str">
        <f t="shared" ref="C155:C161" si="0">"OUTREACH WORD ACADEMY"</f>
        <v>OUTREACH WORD ACADEMY</v>
      </c>
      <c r="D155" t="s">
        <v>11</v>
      </c>
      <c r="E155" t="s">
        <v>168</v>
      </c>
      <c r="F155" t="s">
        <v>169</v>
      </c>
      <c r="G155">
        <v>77903</v>
      </c>
      <c r="H155">
        <v>2009</v>
      </c>
      <c r="I155" s="1">
        <v>0</v>
      </c>
      <c r="J155" s="1">
        <v>0</v>
      </c>
    </row>
    <row r="156" spans="1:11" x14ac:dyDescent="0.35">
      <c r="A156">
        <v>688066</v>
      </c>
      <c r="B156">
        <v>1884102</v>
      </c>
      <c r="C156" t="str">
        <f t="shared" si="0"/>
        <v>OUTREACH WORD ACADEMY</v>
      </c>
      <c r="D156" t="s">
        <v>11</v>
      </c>
      <c r="E156" t="s">
        <v>168</v>
      </c>
      <c r="F156" t="s">
        <v>169</v>
      </c>
      <c r="G156">
        <v>77903</v>
      </c>
      <c r="H156">
        <v>2009</v>
      </c>
      <c r="I156" s="1">
        <v>0</v>
      </c>
      <c r="J156" s="1">
        <v>0</v>
      </c>
    </row>
    <row r="157" spans="1:11" x14ac:dyDescent="0.35">
      <c r="A157">
        <v>688066</v>
      </c>
      <c r="B157">
        <v>1899026</v>
      </c>
      <c r="C157" t="str">
        <f t="shared" si="0"/>
        <v>OUTREACH WORD ACADEMY</v>
      </c>
      <c r="D157" t="s">
        <v>11</v>
      </c>
      <c r="E157" t="s">
        <v>168</v>
      </c>
      <c r="F157" t="s">
        <v>169</v>
      </c>
      <c r="G157">
        <v>77903</v>
      </c>
      <c r="H157">
        <v>2009</v>
      </c>
      <c r="I157" s="1">
        <v>0</v>
      </c>
      <c r="J157" s="1">
        <v>0</v>
      </c>
    </row>
    <row r="158" spans="1:11" x14ac:dyDescent="0.35">
      <c r="A158">
        <v>688066</v>
      </c>
      <c r="B158">
        <v>1884060</v>
      </c>
      <c r="C158" t="str">
        <f t="shared" si="0"/>
        <v>OUTREACH WORD ACADEMY</v>
      </c>
      <c r="D158" t="s">
        <v>11</v>
      </c>
      <c r="E158" t="s">
        <v>168</v>
      </c>
      <c r="F158" t="s">
        <v>169</v>
      </c>
      <c r="G158">
        <v>77903</v>
      </c>
      <c r="H158">
        <v>2009</v>
      </c>
      <c r="I158" s="1">
        <v>1081.4000000000001</v>
      </c>
      <c r="J158" s="1">
        <v>1201.56</v>
      </c>
      <c r="K158" s="1">
        <v>1081.4000000000001</v>
      </c>
    </row>
    <row r="159" spans="1:11" x14ac:dyDescent="0.35">
      <c r="A159">
        <v>688066</v>
      </c>
      <c r="B159">
        <v>1884000</v>
      </c>
      <c r="C159" t="str">
        <f t="shared" si="0"/>
        <v>OUTREACH WORD ACADEMY</v>
      </c>
      <c r="D159" t="s">
        <v>11</v>
      </c>
      <c r="E159" t="s">
        <v>168</v>
      </c>
      <c r="F159" t="s">
        <v>169</v>
      </c>
      <c r="G159">
        <v>77903</v>
      </c>
      <c r="H159">
        <v>2009</v>
      </c>
      <c r="I159" s="1">
        <v>445.28</v>
      </c>
      <c r="J159" s="1">
        <v>494.76</v>
      </c>
      <c r="K159" s="1">
        <v>386.96</v>
      </c>
    </row>
    <row r="160" spans="1:11" x14ac:dyDescent="0.35">
      <c r="A160">
        <v>688066</v>
      </c>
      <c r="B160">
        <v>1884149</v>
      </c>
      <c r="C160" t="str">
        <f t="shared" si="0"/>
        <v>OUTREACH WORD ACADEMY</v>
      </c>
      <c r="D160" t="s">
        <v>11</v>
      </c>
      <c r="E160" t="s">
        <v>168</v>
      </c>
      <c r="F160" t="s">
        <v>169</v>
      </c>
      <c r="G160">
        <v>77903</v>
      </c>
      <c r="H160">
        <v>2009</v>
      </c>
      <c r="I160" s="1">
        <v>850.5</v>
      </c>
      <c r="J160" s="1">
        <v>11340</v>
      </c>
      <c r="K160" s="1">
        <v>850.5</v>
      </c>
    </row>
    <row r="161" spans="1:11" x14ac:dyDescent="0.35">
      <c r="A161">
        <v>688066</v>
      </c>
      <c r="B161">
        <v>1883968</v>
      </c>
      <c r="C161" t="str">
        <f t="shared" si="0"/>
        <v>OUTREACH WORD ACADEMY</v>
      </c>
      <c r="D161" t="s">
        <v>11</v>
      </c>
      <c r="E161" t="s">
        <v>168</v>
      </c>
      <c r="F161" t="s">
        <v>169</v>
      </c>
      <c r="G161">
        <v>77903</v>
      </c>
      <c r="H161">
        <v>2009</v>
      </c>
      <c r="I161" s="1">
        <v>356.08</v>
      </c>
      <c r="J161" s="1">
        <v>395.64</v>
      </c>
    </row>
    <row r="162" spans="1:11" x14ac:dyDescent="0.35">
      <c r="A162">
        <v>693444</v>
      </c>
      <c r="B162">
        <v>1902954</v>
      </c>
      <c r="C162" t="str">
        <f>"PAWNEE SCHOOL"</f>
        <v>PAWNEE SCHOOL</v>
      </c>
      <c r="D162" t="s">
        <v>11</v>
      </c>
      <c r="E162" t="s">
        <v>170</v>
      </c>
      <c r="F162" t="s">
        <v>171</v>
      </c>
      <c r="G162">
        <v>78145</v>
      </c>
      <c r="H162">
        <v>2009</v>
      </c>
      <c r="I162" s="1">
        <v>684</v>
      </c>
      <c r="J162" s="1">
        <v>855</v>
      </c>
      <c r="K162" s="1">
        <v>684</v>
      </c>
    </row>
    <row r="163" spans="1:11" x14ac:dyDescent="0.35">
      <c r="A163">
        <v>693147</v>
      </c>
      <c r="B163">
        <v>1901916</v>
      </c>
      <c r="C163" t="str">
        <f>"PAWNEE SCHOOL"</f>
        <v>PAWNEE SCHOOL</v>
      </c>
      <c r="D163" t="s">
        <v>11</v>
      </c>
      <c r="E163" t="s">
        <v>170</v>
      </c>
      <c r="F163" t="s">
        <v>171</v>
      </c>
      <c r="G163">
        <v>78145</v>
      </c>
      <c r="H163">
        <v>2009</v>
      </c>
      <c r="I163" s="1">
        <v>8649.7000000000007</v>
      </c>
      <c r="J163" s="1">
        <v>10812.12</v>
      </c>
      <c r="K163" s="1">
        <v>8649.7000000000007</v>
      </c>
    </row>
    <row r="164" spans="1:11" x14ac:dyDescent="0.35">
      <c r="A164">
        <v>667204</v>
      </c>
      <c r="B164">
        <v>1821576</v>
      </c>
      <c r="C164" t="str">
        <f>"PEAK ACADEMY"</f>
        <v>PEAK ACADEMY</v>
      </c>
      <c r="D164" t="s">
        <v>11</v>
      </c>
      <c r="E164" t="s">
        <v>172</v>
      </c>
      <c r="F164" t="s">
        <v>20</v>
      </c>
      <c r="G164">
        <v>75204</v>
      </c>
      <c r="H164">
        <v>2009</v>
      </c>
      <c r="I164" s="1">
        <v>39787.199999999997</v>
      </c>
      <c r="J164" s="1">
        <v>44208</v>
      </c>
      <c r="K164" s="1">
        <v>39787.199999999997</v>
      </c>
    </row>
    <row r="165" spans="1:11" x14ac:dyDescent="0.35">
      <c r="A165">
        <v>667204</v>
      </c>
      <c r="B165">
        <v>1821549</v>
      </c>
      <c r="C165" t="str">
        <f>"PEAK ACADEMY"</f>
        <v>PEAK ACADEMY</v>
      </c>
      <c r="D165" t="s">
        <v>11</v>
      </c>
      <c r="E165" t="s">
        <v>172</v>
      </c>
      <c r="F165" t="s">
        <v>20</v>
      </c>
      <c r="G165">
        <v>75204</v>
      </c>
      <c r="H165">
        <v>2009</v>
      </c>
      <c r="I165" s="1">
        <v>7247.21</v>
      </c>
      <c r="J165" s="1">
        <v>8052.45</v>
      </c>
      <c r="K165" s="1">
        <v>7247.21</v>
      </c>
    </row>
    <row r="166" spans="1:11" x14ac:dyDescent="0.35">
      <c r="A166">
        <v>667204</v>
      </c>
      <c r="B166">
        <v>1821566</v>
      </c>
      <c r="C166" t="str">
        <f>"PEAK ACADEMY"</f>
        <v>PEAK ACADEMY</v>
      </c>
      <c r="D166" t="s">
        <v>11</v>
      </c>
      <c r="E166" t="s">
        <v>172</v>
      </c>
      <c r="F166" t="s">
        <v>20</v>
      </c>
      <c r="G166">
        <v>75204</v>
      </c>
      <c r="H166">
        <v>2009</v>
      </c>
      <c r="I166" s="1">
        <v>6480</v>
      </c>
      <c r="J166" s="1">
        <v>7200</v>
      </c>
      <c r="K166" s="1">
        <v>6480</v>
      </c>
    </row>
    <row r="167" spans="1:11" x14ac:dyDescent="0.35">
      <c r="A167">
        <v>685267</v>
      </c>
      <c r="B167">
        <v>1874214</v>
      </c>
      <c r="C167" t="str">
        <f>"PEP HIGH SCHOOL"</f>
        <v>PEP HIGH SCHOOL</v>
      </c>
      <c r="D167" t="s">
        <v>11</v>
      </c>
      <c r="E167" t="s">
        <v>173</v>
      </c>
      <c r="F167" t="s">
        <v>174</v>
      </c>
      <c r="G167">
        <v>79353</v>
      </c>
      <c r="H167">
        <v>2009</v>
      </c>
      <c r="I167" s="1">
        <v>5183.46</v>
      </c>
      <c r="J167" s="1">
        <v>5759.4</v>
      </c>
      <c r="K167" s="1">
        <v>5183.46</v>
      </c>
    </row>
    <row r="168" spans="1:11" x14ac:dyDescent="0.35">
      <c r="A168">
        <v>681159</v>
      </c>
      <c r="B168">
        <v>1861212</v>
      </c>
      <c r="C168" t="str">
        <f>"PHOENIX CHARTER SCHOOL"</f>
        <v>PHOENIX CHARTER SCHOOL</v>
      </c>
      <c r="D168" t="s">
        <v>11</v>
      </c>
      <c r="E168" t="s">
        <v>175</v>
      </c>
      <c r="F168" t="s">
        <v>176</v>
      </c>
      <c r="G168">
        <v>75402</v>
      </c>
      <c r="H168">
        <v>2009</v>
      </c>
      <c r="I168" s="1">
        <v>5137.1499999999996</v>
      </c>
      <c r="J168" s="1">
        <v>6421.44</v>
      </c>
      <c r="K168" s="1">
        <v>5137.13</v>
      </c>
    </row>
    <row r="169" spans="1:11" x14ac:dyDescent="0.35">
      <c r="A169">
        <v>681159</v>
      </c>
      <c r="B169">
        <v>1861275</v>
      </c>
      <c r="C169" t="str">
        <f>"PHOENIX CHARTER SCHOOL"</f>
        <v>PHOENIX CHARTER SCHOOL</v>
      </c>
      <c r="D169" t="s">
        <v>11</v>
      </c>
      <c r="E169" t="s">
        <v>175</v>
      </c>
      <c r="F169" t="s">
        <v>176</v>
      </c>
      <c r="G169">
        <v>75402</v>
      </c>
      <c r="H169">
        <v>2009</v>
      </c>
      <c r="I169" s="1">
        <v>1276.8</v>
      </c>
      <c r="J169" s="1">
        <v>1596</v>
      </c>
      <c r="K169" s="1">
        <v>780</v>
      </c>
    </row>
    <row r="170" spans="1:11" x14ac:dyDescent="0.35">
      <c r="A170">
        <v>681752</v>
      </c>
      <c r="B170">
        <v>1863315</v>
      </c>
      <c r="C170" t="str">
        <f>"PINE DRIVE BAPTIST CHRISTIAN"</f>
        <v>PINE DRIVE BAPTIST CHRISTIAN</v>
      </c>
      <c r="D170" t="s">
        <v>11</v>
      </c>
      <c r="E170" t="s">
        <v>177</v>
      </c>
      <c r="F170" t="s">
        <v>178</v>
      </c>
      <c r="G170">
        <v>77539</v>
      </c>
      <c r="H170">
        <v>2009</v>
      </c>
      <c r="I170" s="1">
        <v>383.76</v>
      </c>
      <c r="J170" s="1">
        <v>959.4</v>
      </c>
    </row>
    <row r="171" spans="1:11" x14ac:dyDescent="0.35">
      <c r="A171">
        <v>681752</v>
      </c>
      <c r="B171">
        <v>1863320</v>
      </c>
      <c r="C171" t="str">
        <f>"PINE DRIVE BAPTIST CHRISTIAN"</f>
        <v>PINE DRIVE BAPTIST CHRISTIAN</v>
      </c>
      <c r="D171" t="s">
        <v>11</v>
      </c>
      <c r="E171" t="s">
        <v>177</v>
      </c>
      <c r="F171" t="s">
        <v>178</v>
      </c>
      <c r="G171">
        <v>77539</v>
      </c>
      <c r="H171">
        <v>2009</v>
      </c>
      <c r="I171" s="1">
        <v>0</v>
      </c>
      <c r="J171" s="1">
        <v>0</v>
      </c>
    </row>
    <row r="172" spans="1:11" x14ac:dyDescent="0.35">
      <c r="A172">
        <v>675455</v>
      </c>
      <c r="B172">
        <v>1855474</v>
      </c>
      <c r="C172" t="str">
        <f>"POPE JOHN XXIII HIGH SCHOOL"</f>
        <v>POPE JOHN XXIII HIGH SCHOOL</v>
      </c>
      <c r="D172" t="s">
        <v>11</v>
      </c>
      <c r="E172" t="s">
        <v>179</v>
      </c>
      <c r="F172" t="s">
        <v>180</v>
      </c>
      <c r="G172">
        <v>77449</v>
      </c>
      <c r="H172">
        <v>2009</v>
      </c>
      <c r="I172" s="1">
        <v>959.76</v>
      </c>
      <c r="J172" s="1">
        <v>2399.4</v>
      </c>
      <c r="K172" s="1">
        <v>959.76</v>
      </c>
    </row>
    <row r="173" spans="1:11" x14ac:dyDescent="0.35">
      <c r="A173">
        <v>671515</v>
      </c>
      <c r="B173">
        <v>1833205</v>
      </c>
      <c r="C173" t="str">
        <f>"PRINCE OF PEACE CATHOLIC SCH"</f>
        <v>PRINCE OF PEACE CATHOLIC SCH</v>
      </c>
      <c r="D173" t="s">
        <v>11</v>
      </c>
      <c r="E173" t="s">
        <v>181</v>
      </c>
      <c r="F173" t="s">
        <v>135</v>
      </c>
      <c r="G173">
        <v>75093</v>
      </c>
      <c r="H173">
        <v>2009</v>
      </c>
      <c r="I173" s="1">
        <v>2424</v>
      </c>
      <c r="J173" s="1">
        <v>6060</v>
      </c>
      <c r="K173" s="1">
        <v>2424</v>
      </c>
    </row>
    <row r="174" spans="1:11" x14ac:dyDescent="0.35">
      <c r="A174">
        <v>669223</v>
      </c>
      <c r="B174">
        <v>1827574</v>
      </c>
      <c r="C174" t="str">
        <f>"PROPOSED NEW CAMPUS"</f>
        <v>PROPOSED NEW CAMPUS</v>
      </c>
      <c r="D174" t="s">
        <v>11</v>
      </c>
      <c r="E174" t="s">
        <v>182</v>
      </c>
      <c r="F174" t="s">
        <v>38</v>
      </c>
      <c r="G174">
        <v>78213</v>
      </c>
      <c r="H174">
        <v>2009</v>
      </c>
      <c r="I174" s="1">
        <v>0</v>
      </c>
      <c r="J174" s="1">
        <v>0</v>
      </c>
    </row>
    <row r="175" spans="1:11" x14ac:dyDescent="0.35">
      <c r="A175">
        <v>673982</v>
      </c>
      <c r="B175">
        <v>1839901</v>
      </c>
      <c r="C175" t="str">
        <f>"PROVIDENCE HIGH SCHOOL"</f>
        <v>PROVIDENCE HIGH SCHOOL</v>
      </c>
      <c r="D175" t="s">
        <v>11</v>
      </c>
      <c r="E175" t="s">
        <v>183</v>
      </c>
      <c r="F175" t="s">
        <v>38</v>
      </c>
      <c r="G175">
        <v>78215</v>
      </c>
      <c r="H175">
        <v>2009</v>
      </c>
      <c r="I175" s="1">
        <v>759.24</v>
      </c>
      <c r="J175" s="1">
        <v>1898.1</v>
      </c>
      <c r="K175" s="1">
        <v>759.24</v>
      </c>
    </row>
    <row r="176" spans="1:11" x14ac:dyDescent="0.35">
      <c r="A176">
        <v>673982</v>
      </c>
      <c r="B176">
        <v>1839907</v>
      </c>
      <c r="C176" t="str">
        <f>"PROVIDENCE HIGH SCHOOL"</f>
        <v>PROVIDENCE HIGH SCHOOL</v>
      </c>
      <c r="D176" t="s">
        <v>11</v>
      </c>
      <c r="E176" t="s">
        <v>183</v>
      </c>
      <c r="F176" t="s">
        <v>38</v>
      </c>
      <c r="G176">
        <v>78215</v>
      </c>
      <c r="H176">
        <v>2009</v>
      </c>
      <c r="I176" s="1">
        <v>405.41</v>
      </c>
      <c r="J176" s="1">
        <v>1013.52</v>
      </c>
      <c r="K176" s="1">
        <v>405.41</v>
      </c>
    </row>
    <row r="177" spans="1:11" x14ac:dyDescent="0.35">
      <c r="A177">
        <v>675459</v>
      </c>
      <c r="B177">
        <v>1855653</v>
      </c>
      <c r="C177" t="str">
        <f>"QUEEN OF PEACE SCHOOL"</f>
        <v>QUEEN OF PEACE SCHOOL</v>
      </c>
      <c r="D177" t="s">
        <v>11</v>
      </c>
      <c r="E177" t="s">
        <v>184</v>
      </c>
      <c r="F177" t="s">
        <v>15</v>
      </c>
      <c r="G177">
        <v>77023</v>
      </c>
      <c r="H177">
        <v>2009</v>
      </c>
      <c r="I177" s="1">
        <v>6570.18</v>
      </c>
      <c r="J177" s="1">
        <v>7300.2</v>
      </c>
      <c r="K177" s="1">
        <v>6570.18</v>
      </c>
    </row>
    <row r="178" spans="1:11" x14ac:dyDescent="0.35">
      <c r="A178">
        <v>681368</v>
      </c>
      <c r="B178">
        <v>1863364</v>
      </c>
      <c r="C178" t="str">
        <f>"RANCH ACADEMY - TYLER CAMPUS"</f>
        <v>RANCH ACADEMY - TYLER CAMPUS</v>
      </c>
      <c r="D178" t="s">
        <v>11</v>
      </c>
      <c r="E178" t="s">
        <v>185</v>
      </c>
      <c r="F178" t="s">
        <v>27</v>
      </c>
      <c r="G178">
        <v>75703</v>
      </c>
      <c r="H178">
        <v>2009</v>
      </c>
      <c r="I178" s="1">
        <v>2970</v>
      </c>
      <c r="J178" s="1">
        <v>3300</v>
      </c>
      <c r="K178" s="1">
        <v>2970</v>
      </c>
    </row>
    <row r="179" spans="1:11" x14ac:dyDescent="0.35">
      <c r="A179">
        <v>693909</v>
      </c>
      <c r="B179">
        <v>1904398</v>
      </c>
      <c r="C179" t="str">
        <f>"RAPOPORT ACADEMY"</f>
        <v>RAPOPORT ACADEMY</v>
      </c>
      <c r="D179" t="s">
        <v>11</v>
      </c>
      <c r="E179" t="s">
        <v>186</v>
      </c>
      <c r="F179" t="s">
        <v>71</v>
      </c>
      <c r="G179">
        <v>76704</v>
      </c>
      <c r="H179">
        <v>2009</v>
      </c>
      <c r="I179" s="1">
        <v>0</v>
      </c>
      <c r="J179" s="1">
        <v>0</v>
      </c>
    </row>
    <row r="180" spans="1:11" x14ac:dyDescent="0.35">
      <c r="A180">
        <v>683262</v>
      </c>
      <c r="B180">
        <v>1878201</v>
      </c>
      <c r="C180" t="str">
        <f>"RAPOPORT ACADEMY"</f>
        <v>RAPOPORT ACADEMY</v>
      </c>
      <c r="D180" t="s">
        <v>11</v>
      </c>
      <c r="E180" t="s">
        <v>186</v>
      </c>
      <c r="F180" t="s">
        <v>71</v>
      </c>
      <c r="G180">
        <v>76704</v>
      </c>
      <c r="H180">
        <v>2009</v>
      </c>
      <c r="I180" s="1">
        <v>8262</v>
      </c>
      <c r="J180" s="1">
        <v>9180</v>
      </c>
      <c r="K180" s="1">
        <v>8262</v>
      </c>
    </row>
    <row r="181" spans="1:11" x14ac:dyDescent="0.35">
      <c r="A181">
        <v>686768</v>
      </c>
      <c r="B181">
        <v>1879263</v>
      </c>
      <c r="C181" t="str">
        <f>"RAPOPORT ACADEMY HIGH SCHOOL"</f>
        <v>RAPOPORT ACADEMY HIGH SCHOOL</v>
      </c>
      <c r="D181" t="s">
        <v>11</v>
      </c>
      <c r="E181" t="s">
        <v>187</v>
      </c>
      <c r="F181" t="s">
        <v>71</v>
      </c>
      <c r="G181">
        <v>76704</v>
      </c>
      <c r="H181">
        <v>2009</v>
      </c>
      <c r="I181" s="1">
        <v>0</v>
      </c>
      <c r="J181" s="1">
        <v>0</v>
      </c>
    </row>
    <row r="182" spans="1:11" x14ac:dyDescent="0.35">
      <c r="A182">
        <v>676934</v>
      </c>
      <c r="B182">
        <v>1853618</v>
      </c>
      <c r="C182" t="str">
        <f>"REICHER CATHOLIC HIGH SCHOOL"</f>
        <v>REICHER CATHOLIC HIGH SCHOOL</v>
      </c>
      <c r="D182" t="s">
        <v>11</v>
      </c>
      <c r="E182" t="s">
        <v>188</v>
      </c>
      <c r="F182" t="s">
        <v>71</v>
      </c>
      <c r="G182">
        <v>76708</v>
      </c>
      <c r="H182">
        <v>2009</v>
      </c>
      <c r="I182" s="1">
        <v>2822.4</v>
      </c>
      <c r="J182" s="1">
        <v>7056</v>
      </c>
      <c r="K182" s="1">
        <v>2822.4</v>
      </c>
    </row>
    <row r="183" spans="1:11" x14ac:dyDescent="0.35">
      <c r="A183">
        <v>679565</v>
      </c>
      <c r="B183">
        <v>1855862</v>
      </c>
      <c r="C183" t="str">
        <f>"RESURRECTION SCHOOL"</f>
        <v>RESURRECTION SCHOOL</v>
      </c>
      <c r="D183" t="s">
        <v>11</v>
      </c>
      <c r="E183" t="s">
        <v>189</v>
      </c>
      <c r="F183" t="s">
        <v>15</v>
      </c>
      <c r="G183">
        <v>77020</v>
      </c>
      <c r="H183">
        <v>2009</v>
      </c>
      <c r="I183" s="1">
        <v>6372.76</v>
      </c>
      <c r="J183" s="1">
        <v>7080.84</v>
      </c>
      <c r="K183" s="1">
        <v>6372.76</v>
      </c>
    </row>
    <row r="184" spans="1:11" x14ac:dyDescent="0.35">
      <c r="A184">
        <v>691967</v>
      </c>
      <c r="B184">
        <v>1899592</v>
      </c>
      <c r="C184" t="str">
        <f t="shared" ref="C184:C191" si="1">"RICHARD MILBURN ACADEMY - AMARILLO"</f>
        <v>RICHARD MILBURN ACADEMY - AMARILLO</v>
      </c>
      <c r="D184" t="s">
        <v>11</v>
      </c>
      <c r="E184" t="s">
        <v>190</v>
      </c>
      <c r="F184" t="s">
        <v>111</v>
      </c>
      <c r="G184">
        <v>79109</v>
      </c>
      <c r="H184">
        <v>2009</v>
      </c>
      <c r="I184" s="1">
        <v>0</v>
      </c>
      <c r="J184" s="1">
        <v>0</v>
      </c>
    </row>
    <row r="185" spans="1:11" x14ac:dyDescent="0.35">
      <c r="A185">
        <v>691967</v>
      </c>
      <c r="B185">
        <v>1899567</v>
      </c>
      <c r="C185" t="str">
        <f t="shared" si="1"/>
        <v>RICHARD MILBURN ACADEMY - AMARILLO</v>
      </c>
      <c r="D185" t="s">
        <v>11</v>
      </c>
      <c r="E185" t="s">
        <v>190</v>
      </c>
      <c r="F185" t="s">
        <v>111</v>
      </c>
      <c r="G185">
        <v>79109</v>
      </c>
      <c r="H185">
        <v>2009</v>
      </c>
      <c r="I185" s="1">
        <v>0</v>
      </c>
      <c r="J185" s="1">
        <v>0</v>
      </c>
    </row>
    <row r="186" spans="1:11" x14ac:dyDescent="0.35">
      <c r="A186">
        <v>691967</v>
      </c>
      <c r="B186">
        <v>1900271</v>
      </c>
      <c r="C186" t="str">
        <f t="shared" si="1"/>
        <v>RICHARD MILBURN ACADEMY - AMARILLO</v>
      </c>
      <c r="D186" t="s">
        <v>11</v>
      </c>
      <c r="E186" t="s">
        <v>190</v>
      </c>
      <c r="F186" t="s">
        <v>111</v>
      </c>
      <c r="G186">
        <v>79109</v>
      </c>
      <c r="H186">
        <v>2009</v>
      </c>
      <c r="I186" s="1">
        <v>882</v>
      </c>
      <c r="J186" s="1">
        <v>1102.5</v>
      </c>
    </row>
    <row r="187" spans="1:11" x14ac:dyDescent="0.35">
      <c r="A187">
        <v>691967</v>
      </c>
      <c r="B187">
        <v>1899688</v>
      </c>
      <c r="C187" t="str">
        <f t="shared" si="1"/>
        <v>RICHARD MILBURN ACADEMY - AMARILLO</v>
      </c>
      <c r="D187" t="s">
        <v>11</v>
      </c>
      <c r="E187" t="s">
        <v>190</v>
      </c>
      <c r="F187" t="s">
        <v>111</v>
      </c>
      <c r="G187">
        <v>79109</v>
      </c>
      <c r="H187">
        <v>2009</v>
      </c>
      <c r="I187" s="1">
        <v>0</v>
      </c>
      <c r="J187" s="1">
        <v>0</v>
      </c>
    </row>
    <row r="188" spans="1:11" x14ac:dyDescent="0.35">
      <c r="A188">
        <v>691967</v>
      </c>
      <c r="B188">
        <v>1899654</v>
      </c>
      <c r="C188" t="str">
        <f t="shared" si="1"/>
        <v>RICHARD MILBURN ACADEMY - AMARILLO</v>
      </c>
      <c r="D188" t="s">
        <v>11</v>
      </c>
      <c r="E188" t="s">
        <v>190</v>
      </c>
      <c r="F188" t="s">
        <v>111</v>
      </c>
      <c r="G188">
        <v>79109</v>
      </c>
      <c r="H188">
        <v>2009</v>
      </c>
      <c r="I188" s="1">
        <v>0</v>
      </c>
      <c r="J188" s="1">
        <v>0</v>
      </c>
    </row>
    <row r="189" spans="1:11" x14ac:dyDescent="0.35">
      <c r="A189">
        <v>691967</v>
      </c>
      <c r="B189">
        <v>1899531</v>
      </c>
      <c r="C189" t="str">
        <f t="shared" si="1"/>
        <v>RICHARD MILBURN ACADEMY - AMARILLO</v>
      </c>
      <c r="D189" t="s">
        <v>11</v>
      </c>
      <c r="E189" t="s">
        <v>190</v>
      </c>
      <c r="F189" t="s">
        <v>111</v>
      </c>
      <c r="G189">
        <v>79109</v>
      </c>
      <c r="H189">
        <v>2009</v>
      </c>
      <c r="I189" s="1">
        <v>0</v>
      </c>
      <c r="J189" s="1">
        <v>0</v>
      </c>
    </row>
    <row r="190" spans="1:11" x14ac:dyDescent="0.35">
      <c r="A190">
        <v>691967</v>
      </c>
      <c r="B190">
        <v>1899030</v>
      </c>
      <c r="C190" t="str">
        <f t="shared" si="1"/>
        <v>RICHARD MILBURN ACADEMY - AMARILLO</v>
      </c>
      <c r="D190" t="s">
        <v>11</v>
      </c>
      <c r="E190" t="s">
        <v>190</v>
      </c>
      <c r="F190" t="s">
        <v>111</v>
      </c>
      <c r="G190">
        <v>79109</v>
      </c>
      <c r="H190">
        <v>2009</v>
      </c>
      <c r="I190" s="1">
        <v>0</v>
      </c>
      <c r="J190" s="1">
        <v>0</v>
      </c>
    </row>
    <row r="191" spans="1:11" x14ac:dyDescent="0.35">
      <c r="A191">
        <v>691967</v>
      </c>
      <c r="B191">
        <v>1898865</v>
      </c>
      <c r="C191" t="str">
        <f t="shared" si="1"/>
        <v>RICHARD MILBURN ACADEMY - AMARILLO</v>
      </c>
      <c r="D191" t="s">
        <v>11</v>
      </c>
      <c r="E191" t="s">
        <v>190</v>
      </c>
      <c r="F191" t="s">
        <v>111</v>
      </c>
      <c r="G191">
        <v>79109</v>
      </c>
      <c r="H191">
        <v>2009</v>
      </c>
      <c r="I191" s="1">
        <v>8049.6</v>
      </c>
      <c r="J191" s="1">
        <v>10062</v>
      </c>
    </row>
    <row r="192" spans="1:11" x14ac:dyDescent="0.35">
      <c r="A192">
        <v>692941</v>
      </c>
      <c r="B192">
        <v>1902897</v>
      </c>
      <c r="C192" t="str">
        <f t="shared" ref="C192:C197" si="2">"RICHARD MILBURN ACADEMY - BEAUMONT"</f>
        <v>RICHARD MILBURN ACADEMY - BEAUMONT</v>
      </c>
      <c r="D192" t="s">
        <v>11</v>
      </c>
      <c r="E192" t="s">
        <v>191</v>
      </c>
      <c r="F192" t="s">
        <v>18</v>
      </c>
      <c r="G192">
        <v>77701</v>
      </c>
      <c r="H192">
        <v>2009</v>
      </c>
      <c r="I192" s="1">
        <v>0</v>
      </c>
      <c r="J192" s="1">
        <v>0</v>
      </c>
    </row>
    <row r="193" spans="1:11" x14ac:dyDescent="0.35">
      <c r="A193">
        <v>692941</v>
      </c>
      <c r="B193">
        <v>1903099</v>
      </c>
      <c r="C193" t="str">
        <f t="shared" si="2"/>
        <v>RICHARD MILBURN ACADEMY - BEAUMONT</v>
      </c>
      <c r="D193" t="s">
        <v>11</v>
      </c>
      <c r="E193" t="s">
        <v>191</v>
      </c>
      <c r="F193" t="s">
        <v>18</v>
      </c>
      <c r="G193">
        <v>77701</v>
      </c>
      <c r="H193">
        <v>2009</v>
      </c>
      <c r="I193" s="1">
        <v>992.25</v>
      </c>
      <c r="J193" s="1">
        <v>1102.5</v>
      </c>
    </row>
    <row r="194" spans="1:11" x14ac:dyDescent="0.35">
      <c r="A194">
        <v>692941</v>
      </c>
      <c r="B194">
        <v>1902560</v>
      </c>
      <c r="C194" t="str">
        <f t="shared" si="2"/>
        <v>RICHARD MILBURN ACADEMY - BEAUMONT</v>
      </c>
      <c r="D194" t="s">
        <v>11</v>
      </c>
      <c r="E194" t="s">
        <v>191</v>
      </c>
      <c r="F194" t="s">
        <v>18</v>
      </c>
      <c r="G194">
        <v>77701</v>
      </c>
      <c r="H194">
        <v>2009</v>
      </c>
      <c r="I194" s="1">
        <v>854.39</v>
      </c>
      <c r="J194" s="1">
        <v>949.32</v>
      </c>
      <c r="K194" s="1">
        <v>854.39</v>
      </c>
    </row>
    <row r="195" spans="1:11" x14ac:dyDescent="0.35">
      <c r="A195">
        <v>692941</v>
      </c>
      <c r="B195">
        <v>1902165</v>
      </c>
      <c r="C195" t="str">
        <f t="shared" si="2"/>
        <v>RICHARD MILBURN ACADEMY - BEAUMONT</v>
      </c>
      <c r="D195" t="s">
        <v>11</v>
      </c>
      <c r="E195" t="s">
        <v>191</v>
      </c>
      <c r="F195" t="s">
        <v>18</v>
      </c>
      <c r="G195">
        <v>77701</v>
      </c>
      <c r="H195">
        <v>2009</v>
      </c>
      <c r="I195" s="1">
        <v>0</v>
      </c>
      <c r="J195" s="1">
        <v>0</v>
      </c>
    </row>
    <row r="196" spans="1:11" x14ac:dyDescent="0.35">
      <c r="A196">
        <v>692941</v>
      </c>
      <c r="B196">
        <v>1902951</v>
      </c>
      <c r="C196" t="str">
        <f t="shared" si="2"/>
        <v>RICHARD MILBURN ACADEMY - BEAUMONT</v>
      </c>
      <c r="D196" t="s">
        <v>11</v>
      </c>
      <c r="E196" t="s">
        <v>191</v>
      </c>
      <c r="F196" t="s">
        <v>18</v>
      </c>
      <c r="G196">
        <v>77701</v>
      </c>
      <c r="H196">
        <v>2009</v>
      </c>
      <c r="I196" s="1">
        <v>0</v>
      </c>
      <c r="J196" s="1">
        <v>0</v>
      </c>
    </row>
    <row r="197" spans="1:11" x14ac:dyDescent="0.35">
      <c r="A197">
        <v>692941</v>
      </c>
      <c r="B197">
        <v>1902069</v>
      </c>
      <c r="C197" t="str">
        <f t="shared" si="2"/>
        <v>RICHARD MILBURN ACADEMY - BEAUMONT</v>
      </c>
      <c r="D197" t="s">
        <v>11</v>
      </c>
      <c r="E197" t="s">
        <v>191</v>
      </c>
      <c r="F197" t="s">
        <v>18</v>
      </c>
      <c r="G197">
        <v>77701</v>
      </c>
      <c r="H197">
        <v>2009</v>
      </c>
      <c r="I197" s="1">
        <v>9055.7999999999993</v>
      </c>
      <c r="J197" s="1">
        <v>10062</v>
      </c>
    </row>
    <row r="198" spans="1:11" x14ac:dyDescent="0.35">
      <c r="A198">
        <v>693860</v>
      </c>
      <c r="B198">
        <v>1904475</v>
      </c>
      <c r="C198" t="str">
        <f t="shared" ref="C198:C204" si="3">"RICHARD MILBURN ACADEMY - CORPUS CHRISTI"</f>
        <v>RICHARD MILBURN ACADEMY - CORPUS CHRISTI</v>
      </c>
      <c r="D198" t="s">
        <v>11</v>
      </c>
      <c r="E198" t="s">
        <v>192</v>
      </c>
      <c r="F198" t="s">
        <v>193</v>
      </c>
      <c r="G198">
        <v>78411</v>
      </c>
      <c r="H198">
        <v>2009</v>
      </c>
      <c r="I198" s="1">
        <v>0</v>
      </c>
      <c r="J198" s="1">
        <v>0</v>
      </c>
    </row>
    <row r="199" spans="1:11" x14ac:dyDescent="0.35">
      <c r="A199">
        <v>693860</v>
      </c>
      <c r="B199">
        <v>1904431</v>
      </c>
      <c r="C199" t="str">
        <f t="shared" si="3"/>
        <v>RICHARD MILBURN ACADEMY - CORPUS CHRISTI</v>
      </c>
      <c r="D199" t="s">
        <v>11</v>
      </c>
      <c r="E199" t="s">
        <v>192</v>
      </c>
      <c r="F199" t="s">
        <v>193</v>
      </c>
      <c r="G199">
        <v>78411</v>
      </c>
      <c r="H199">
        <v>2009</v>
      </c>
      <c r="I199" s="1">
        <v>0</v>
      </c>
      <c r="J199" s="1">
        <v>0</v>
      </c>
    </row>
    <row r="200" spans="1:11" x14ac:dyDescent="0.35">
      <c r="A200">
        <v>693860</v>
      </c>
      <c r="B200">
        <v>1904131</v>
      </c>
      <c r="C200" t="str">
        <f t="shared" si="3"/>
        <v>RICHARD MILBURN ACADEMY - CORPUS CHRISTI</v>
      </c>
      <c r="D200" t="s">
        <v>11</v>
      </c>
      <c r="E200" t="s">
        <v>192</v>
      </c>
      <c r="F200" t="s">
        <v>193</v>
      </c>
      <c r="G200">
        <v>78411</v>
      </c>
      <c r="H200">
        <v>2009</v>
      </c>
      <c r="I200" s="1">
        <v>0</v>
      </c>
      <c r="J200" s="1">
        <v>0</v>
      </c>
    </row>
    <row r="201" spans="1:11" x14ac:dyDescent="0.35">
      <c r="A201">
        <v>693860</v>
      </c>
      <c r="B201">
        <v>1904080</v>
      </c>
      <c r="C201" t="str">
        <f t="shared" si="3"/>
        <v>RICHARD MILBURN ACADEMY - CORPUS CHRISTI</v>
      </c>
      <c r="D201" t="s">
        <v>11</v>
      </c>
      <c r="E201" t="s">
        <v>192</v>
      </c>
      <c r="F201" t="s">
        <v>193</v>
      </c>
      <c r="G201">
        <v>78411</v>
      </c>
      <c r="H201">
        <v>2009</v>
      </c>
      <c r="I201" s="1">
        <v>8209.6</v>
      </c>
      <c r="J201" s="1">
        <v>10262</v>
      </c>
    </row>
    <row r="202" spans="1:11" x14ac:dyDescent="0.35">
      <c r="A202">
        <v>693860</v>
      </c>
      <c r="B202">
        <v>1904259</v>
      </c>
      <c r="C202" t="str">
        <f t="shared" si="3"/>
        <v>RICHARD MILBURN ACADEMY - CORPUS CHRISTI</v>
      </c>
      <c r="D202" t="s">
        <v>11</v>
      </c>
      <c r="E202" t="s">
        <v>192</v>
      </c>
      <c r="F202" t="s">
        <v>193</v>
      </c>
      <c r="G202">
        <v>78411</v>
      </c>
      <c r="H202">
        <v>2009</v>
      </c>
      <c r="I202" s="1">
        <v>499.3</v>
      </c>
      <c r="J202" s="1">
        <v>624.12</v>
      </c>
    </row>
    <row r="203" spans="1:11" x14ac:dyDescent="0.35">
      <c r="A203">
        <v>693860</v>
      </c>
      <c r="B203">
        <v>1904630</v>
      </c>
      <c r="C203" t="str">
        <f t="shared" si="3"/>
        <v>RICHARD MILBURN ACADEMY - CORPUS CHRISTI</v>
      </c>
      <c r="D203" t="s">
        <v>11</v>
      </c>
      <c r="E203" t="s">
        <v>192</v>
      </c>
      <c r="F203" t="s">
        <v>193</v>
      </c>
      <c r="G203">
        <v>78411</v>
      </c>
      <c r="H203">
        <v>2009</v>
      </c>
      <c r="I203" s="1">
        <v>9601.6</v>
      </c>
      <c r="J203" s="1">
        <v>12002</v>
      </c>
      <c r="K203" s="1">
        <v>9532.11</v>
      </c>
    </row>
    <row r="204" spans="1:11" x14ac:dyDescent="0.35">
      <c r="A204">
        <v>693860</v>
      </c>
      <c r="B204">
        <v>1904583</v>
      </c>
      <c r="C204" t="str">
        <f t="shared" si="3"/>
        <v>RICHARD MILBURN ACADEMY - CORPUS CHRISTI</v>
      </c>
      <c r="D204" t="s">
        <v>11</v>
      </c>
      <c r="E204" t="s">
        <v>192</v>
      </c>
      <c r="F204" t="s">
        <v>193</v>
      </c>
      <c r="G204">
        <v>78411</v>
      </c>
      <c r="H204">
        <v>2009</v>
      </c>
      <c r="I204" s="1">
        <v>882</v>
      </c>
      <c r="J204" s="1">
        <v>1102.5</v>
      </c>
    </row>
    <row r="205" spans="1:11" x14ac:dyDescent="0.35">
      <c r="A205">
        <v>694347</v>
      </c>
      <c r="B205">
        <v>1905935</v>
      </c>
      <c r="C205" t="str">
        <f t="shared" ref="C205:C210" si="4">"RICHARD MILBURN ACADEMY - LUBBOCK"</f>
        <v>RICHARD MILBURN ACADEMY - LUBBOCK</v>
      </c>
      <c r="D205" t="s">
        <v>11</v>
      </c>
      <c r="E205" t="s">
        <v>194</v>
      </c>
      <c r="F205" t="s">
        <v>195</v>
      </c>
      <c r="G205">
        <v>79410</v>
      </c>
      <c r="H205">
        <v>2009</v>
      </c>
      <c r="I205" s="1">
        <v>0</v>
      </c>
      <c r="J205" s="1">
        <v>0</v>
      </c>
    </row>
    <row r="206" spans="1:11" x14ac:dyDescent="0.35">
      <c r="A206">
        <v>694347</v>
      </c>
      <c r="B206">
        <v>1905898</v>
      </c>
      <c r="C206" t="str">
        <f t="shared" si="4"/>
        <v>RICHARD MILBURN ACADEMY - LUBBOCK</v>
      </c>
      <c r="D206" t="s">
        <v>11</v>
      </c>
      <c r="E206" t="s">
        <v>194</v>
      </c>
      <c r="F206" t="s">
        <v>195</v>
      </c>
      <c r="G206">
        <v>79410</v>
      </c>
      <c r="H206">
        <v>2009</v>
      </c>
      <c r="I206" s="1">
        <v>8049.6</v>
      </c>
      <c r="J206" s="1">
        <v>10062</v>
      </c>
    </row>
    <row r="207" spans="1:11" x14ac:dyDescent="0.35">
      <c r="A207">
        <v>694347</v>
      </c>
      <c r="B207">
        <v>1906383</v>
      </c>
      <c r="C207" t="str">
        <f t="shared" si="4"/>
        <v>RICHARD MILBURN ACADEMY - LUBBOCK</v>
      </c>
      <c r="D207" t="s">
        <v>11</v>
      </c>
      <c r="E207" t="s">
        <v>194</v>
      </c>
      <c r="F207" t="s">
        <v>195</v>
      </c>
      <c r="G207">
        <v>79410</v>
      </c>
      <c r="H207">
        <v>2009</v>
      </c>
      <c r="I207" s="1">
        <v>0</v>
      </c>
      <c r="J207" s="1">
        <v>0</v>
      </c>
    </row>
    <row r="208" spans="1:11" x14ac:dyDescent="0.35">
      <c r="A208">
        <v>694347</v>
      </c>
      <c r="B208">
        <v>1906451</v>
      </c>
      <c r="C208" t="str">
        <f t="shared" si="4"/>
        <v>RICHARD MILBURN ACADEMY - LUBBOCK</v>
      </c>
      <c r="D208" t="s">
        <v>11</v>
      </c>
      <c r="E208" t="s">
        <v>194</v>
      </c>
      <c r="F208" t="s">
        <v>195</v>
      </c>
      <c r="G208">
        <v>79410</v>
      </c>
      <c r="H208">
        <v>2009</v>
      </c>
      <c r="I208" s="1">
        <v>882</v>
      </c>
      <c r="J208" s="1">
        <v>1102.5</v>
      </c>
    </row>
    <row r="209" spans="1:11" x14ac:dyDescent="0.35">
      <c r="A209">
        <v>694347</v>
      </c>
      <c r="B209">
        <v>1906494</v>
      </c>
      <c r="C209" t="str">
        <f t="shared" si="4"/>
        <v>RICHARD MILBURN ACADEMY - LUBBOCK</v>
      </c>
      <c r="D209" t="s">
        <v>11</v>
      </c>
      <c r="E209" t="s">
        <v>194</v>
      </c>
      <c r="F209" t="s">
        <v>195</v>
      </c>
      <c r="G209">
        <v>79410</v>
      </c>
      <c r="H209">
        <v>2009</v>
      </c>
      <c r="I209" s="1">
        <v>4800</v>
      </c>
      <c r="J209" s="1">
        <v>6000</v>
      </c>
      <c r="K209" s="1">
        <v>4800</v>
      </c>
    </row>
    <row r="210" spans="1:11" x14ac:dyDescent="0.35">
      <c r="A210">
        <v>694347</v>
      </c>
      <c r="B210">
        <v>1906353</v>
      </c>
      <c r="C210" t="str">
        <f t="shared" si="4"/>
        <v>RICHARD MILBURN ACADEMY - LUBBOCK</v>
      </c>
      <c r="D210" t="s">
        <v>11</v>
      </c>
      <c r="E210" t="s">
        <v>194</v>
      </c>
      <c r="F210" t="s">
        <v>195</v>
      </c>
      <c r="G210">
        <v>79410</v>
      </c>
      <c r="H210">
        <v>2009</v>
      </c>
      <c r="I210" s="1">
        <v>0</v>
      </c>
      <c r="J210" s="1">
        <v>0</v>
      </c>
    </row>
    <row r="211" spans="1:11" x14ac:dyDescent="0.35">
      <c r="A211">
        <v>694109</v>
      </c>
      <c r="B211">
        <v>1905001</v>
      </c>
      <c r="C211" t="str">
        <f t="shared" ref="C211:C216" si="5">"RICHARD MILBURN ACADEMY KILLEEN"</f>
        <v>RICHARD MILBURN ACADEMY KILLEEN</v>
      </c>
      <c r="D211" t="s">
        <v>11</v>
      </c>
      <c r="E211" t="s">
        <v>196</v>
      </c>
      <c r="F211" t="s">
        <v>197</v>
      </c>
      <c r="G211">
        <v>76541</v>
      </c>
      <c r="H211">
        <v>2009</v>
      </c>
      <c r="I211" s="1">
        <v>6037.2</v>
      </c>
      <c r="J211" s="1">
        <v>10062</v>
      </c>
    </row>
    <row r="212" spans="1:11" x14ac:dyDescent="0.35">
      <c r="A212">
        <v>694109</v>
      </c>
      <c r="B212">
        <v>1905053</v>
      </c>
      <c r="C212" t="str">
        <f t="shared" si="5"/>
        <v>RICHARD MILBURN ACADEMY KILLEEN</v>
      </c>
      <c r="D212" t="s">
        <v>11</v>
      </c>
      <c r="E212" t="s">
        <v>196</v>
      </c>
      <c r="F212" t="s">
        <v>197</v>
      </c>
      <c r="G212">
        <v>76541</v>
      </c>
      <c r="H212">
        <v>2009</v>
      </c>
      <c r="I212" s="1">
        <v>0</v>
      </c>
      <c r="J212" s="1">
        <v>0</v>
      </c>
    </row>
    <row r="213" spans="1:11" x14ac:dyDescent="0.35">
      <c r="A213">
        <v>694109</v>
      </c>
      <c r="B213">
        <v>1905526</v>
      </c>
      <c r="C213" t="str">
        <f t="shared" si="5"/>
        <v>RICHARD MILBURN ACADEMY KILLEEN</v>
      </c>
      <c r="D213" t="s">
        <v>11</v>
      </c>
      <c r="E213" t="s">
        <v>196</v>
      </c>
      <c r="F213" t="s">
        <v>197</v>
      </c>
      <c r="G213">
        <v>76541</v>
      </c>
      <c r="H213">
        <v>2009</v>
      </c>
      <c r="I213" s="1">
        <v>647.91999999999996</v>
      </c>
      <c r="J213" s="1">
        <v>1079.8800000000001</v>
      </c>
    </row>
    <row r="214" spans="1:11" x14ac:dyDescent="0.35">
      <c r="A214">
        <v>694109</v>
      </c>
      <c r="B214">
        <v>1905479</v>
      </c>
      <c r="C214" t="str">
        <f t="shared" si="5"/>
        <v>RICHARD MILBURN ACADEMY KILLEEN</v>
      </c>
      <c r="D214" t="s">
        <v>11</v>
      </c>
      <c r="E214" t="s">
        <v>196</v>
      </c>
      <c r="F214" t="s">
        <v>197</v>
      </c>
      <c r="G214">
        <v>76541</v>
      </c>
      <c r="H214">
        <v>2009</v>
      </c>
      <c r="I214" s="1">
        <v>882</v>
      </c>
      <c r="J214" s="1">
        <v>1102.5</v>
      </c>
    </row>
    <row r="215" spans="1:11" x14ac:dyDescent="0.35">
      <c r="A215">
        <v>694109</v>
      </c>
      <c r="B215">
        <v>1905373</v>
      </c>
      <c r="C215" t="str">
        <f t="shared" si="5"/>
        <v>RICHARD MILBURN ACADEMY KILLEEN</v>
      </c>
      <c r="D215" t="s">
        <v>11</v>
      </c>
      <c r="E215" t="s">
        <v>196</v>
      </c>
      <c r="F215" t="s">
        <v>197</v>
      </c>
      <c r="G215">
        <v>76541</v>
      </c>
      <c r="H215">
        <v>2009</v>
      </c>
      <c r="I215" s="1">
        <v>0</v>
      </c>
      <c r="J215" s="1">
        <v>0</v>
      </c>
    </row>
    <row r="216" spans="1:11" x14ac:dyDescent="0.35">
      <c r="A216">
        <v>694109</v>
      </c>
      <c r="B216">
        <v>1905402</v>
      </c>
      <c r="C216" t="str">
        <f t="shared" si="5"/>
        <v>RICHARD MILBURN ACADEMY KILLEEN</v>
      </c>
      <c r="D216" t="s">
        <v>11</v>
      </c>
      <c r="E216" t="s">
        <v>196</v>
      </c>
      <c r="F216" t="s">
        <v>197</v>
      </c>
      <c r="G216">
        <v>76541</v>
      </c>
      <c r="H216">
        <v>2009</v>
      </c>
      <c r="I216" s="1">
        <v>0</v>
      </c>
      <c r="J216" s="1">
        <v>0</v>
      </c>
    </row>
    <row r="217" spans="1:11" x14ac:dyDescent="0.35">
      <c r="A217">
        <v>695400</v>
      </c>
      <c r="B217">
        <v>1910226</v>
      </c>
      <c r="C217" t="str">
        <f t="shared" ref="C217:C222" si="6">"RICHARD MILBURN ACADEMY-FORT WORTH"</f>
        <v>RICHARD MILBURN ACADEMY-FORT WORTH</v>
      </c>
      <c r="D217" t="s">
        <v>11</v>
      </c>
      <c r="E217" t="s">
        <v>198</v>
      </c>
      <c r="F217" t="s">
        <v>83</v>
      </c>
      <c r="G217">
        <v>76116</v>
      </c>
      <c r="H217">
        <v>2009</v>
      </c>
      <c r="I217" s="1">
        <v>0</v>
      </c>
      <c r="J217" s="1">
        <v>0</v>
      </c>
    </row>
    <row r="218" spans="1:11" x14ac:dyDescent="0.35">
      <c r="A218">
        <v>695400</v>
      </c>
      <c r="B218">
        <v>1910013</v>
      </c>
      <c r="C218" t="str">
        <f t="shared" si="6"/>
        <v>RICHARD MILBURN ACADEMY-FORT WORTH</v>
      </c>
      <c r="D218" t="s">
        <v>11</v>
      </c>
      <c r="E218" t="s">
        <v>198</v>
      </c>
      <c r="F218" t="s">
        <v>83</v>
      </c>
      <c r="G218">
        <v>76116</v>
      </c>
      <c r="H218">
        <v>2009</v>
      </c>
      <c r="I218" s="1">
        <v>917.89</v>
      </c>
      <c r="J218" s="1">
        <v>1019.88</v>
      </c>
      <c r="K218" s="1">
        <v>917.88</v>
      </c>
    </row>
    <row r="219" spans="1:11" x14ac:dyDescent="0.35">
      <c r="A219">
        <v>695400</v>
      </c>
      <c r="B219">
        <v>1910073</v>
      </c>
      <c r="C219" t="str">
        <f t="shared" si="6"/>
        <v>RICHARD MILBURN ACADEMY-FORT WORTH</v>
      </c>
      <c r="D219" t="s">
        <v>11</v>
      </c>
      <c r="E219" t="s">
        <v>198</v>
      </c>
      <c r="F219" t="s">
        <v>83</v>
      </c>
      <c r="G219">
        <v>76116</v>
      </c>
      <c r="H219">
        <v>2009</v>
      </c>
      <c r="I219" s="1">
        <v>737.53</v>
      </c>
      <c r="J219" s="1">
        <v>819.48</v>
      </c>
      <c r="K219" s="1">
        <v>737.52</v>
      </c>
    </row>
    <row r="220" spans="1:11" x14ac:dyDescent="0.35">
      <c r="A220">
        <v>695400</v>
      </c>
      <c r="B220">
        <v>1909994</v>
      </c>
      <c r="C220" t="str">
        <f t="shared" si="6"/>
        <v>RICHARD MILBURN ACADEMY-FORT WORTH</v>
      </c>
      <c r="D220" t="s">
        <v>11</v>
      </c>
      <c r="E220" t="s">
        <v>198</v>
      </c>
      <c r="F220" t="s">
        <v>83</v>
      </c>
      <c r="G220">
        <v>76116</v>
      </c>
      <c r="H220">
        <v>2009</v>
      </c>
      <c r="I220" s="1">
        <v>9055.7999999999993</v>
      </c>
      <c r="J220" s="1">
        <v>10062</v>
      </c>
      <c r="K220" s="1">
        <v>9055.7999999999993</v>
      </c>
    </row>
    <row r="221" spans="1:11" x14ac:dyDescent="0.35">
      <c r="A221">
        <v>695400</v>
      </c>
      <c r="B221">
        <v>1910154</v>
      </c>
      <c r="C221" t="str">
        <f t="shared" si="6"/>
        <v>RICHARD MILBURN ACADEMY-FORT WORTH</v>
      </c>
      <c r="D221" t="s">
        <v>11</v>
      </c>
      <c r="E221" t="s">
        <v>198</v>
      </c>
      <c r="F221" t="s">
        <v>83</v>
      </c>
      <c r="G221">
        <v>76116</v>
      </c>
      <c r="H221">
        <v>2009</v>
      </c>
      <c r="I221" s="1">
        <v>0</v>
      </c>
      <c r="J221" s="1">
        <v>0</v>
      </c>
    </row>
    <row r="222" spans="1:11" x14ac:dyDescent="0.35">
      <c r="A222">
        <v>695400</v>
      </c>
      <c r="B222">
        <v>1910172</v>
      </c>
      <c r="C222" t="str">
        <f t="shared" si="6"/>
        <v>RICHARD MILBURN ACADEMY-FORT WORTH</v>
      </c>
      <c r="D222" t="s">
        <v>11</v>
      </c>
      <c r="E222" t="s">
        <v>198</v>
      </c>
      <c r="F222" t="s">
        <v>83</v>
      </c>
      <c r="G222">
        <v>76116</v>
      </c>
      <c r="H222">
        <v>2009</v>
      </c>
      <c r="I222" s="1">
        <v>0</v>
      </c>
      <c r="J222" s="1">
        <v>0</v>
      </c>
    </row>
    <row r="223" spans="1:11" x14ac:dyDescent="0.35">
      <c r="A223">
        <v>695588</v>
      </c>
      <c r="B223">
        <v>1911023</v>
      </c>
      <c r="C223" t="str">
        <f t="shared" ref="C223:C229" si="7">"RICHARD MILBURN ACADEMY-ODESSA"</f>
        <v>RICHARD MILBURN ACADEMY-ODESSA</v>
      </c>
      <c r="D223" t="s">
        <v>11</v>
      </c>
      <c r="E223" t="s">
        <v>199</v>
      </c>
      <c r="F223" t="s">
        <v>200</v>
      </c>
      <c r="G223">
        <v>79761</v>
      </c>
      <c r="H223">
        <v>2009</v>
      </c>
      <c r="I223" s="1">
        <v>978.91</v>
      </c>
      <c r="J223" s="1">
        <v>1223.6400000000001</v>
      </c>
      <c r="K223" s="1">
        <v>978.91</v>
      </c>
    </row>
    <row r="224" spans="1:11" x14ac:dyDescent="0.35">
      <c r="A224">
        <v>695588</v>
      </c>
      <c r="B224">
        <v>1911060</v>
      </c>
      <c r="C224" t="str">
        <f t="shared" si="7"/>
        <v>RICHARD MILBURN ACADEMY-ODESSA</v>
      </c>
      <c r="D224" t="s">
        <v>11</v>
      </c>
      <c r="E224" t="s">
        <v>199</v>
      </c>
      <c r="F224" t="s">
        <v>200</v>
      </c>
      <c r="G224">
        <v>79761</v>
      </c>
      <c r="H224">
        <v>2009</v>
      </c>
      <c r="I224" s="1">
        <v>0</v>
      </c>
      <c r="J224" s="1">
        <v>0</v>
      </c>
    </row>
    <row r="225" spans="1:11" x14ac:dyDescent="0.35">
      <c r="A225">
        <v>695588</v>
      </c>
      <c r="B225">
        <v>1911041</v>
      </c>
      <c r="C225" t="str">
        <f t="shared" si="7"/>
        <v>RICHARD MILBURN ACADEMY-ODESSA</v>
      </c>
      <c r="D225" t="s">
        <v>11</v>
      </c>
      <c r="E225" t="s">
        <v>199</v>
      </c>
      <c r="F225" t="s">
        <v>200</v>
      </c>
      <c r="G225">
        <v>79761</v>
      </c>
      <c r="H225">
        <v>2009</v>
      </c>
      <c r="I225" s="1">
        <v>0</v>
      </c>
      <c r="J225" s="1">
        <v>0</v>
      </c>
    </row>
    <row r="226" spans="1:11" x14ac:dyDescent="0.35">
      <c r="A226">
        <v>695588</v>
      </c>
      <c r="B226">
        <v>1910869</v>
      </c>
      <c r="C226" t="str">
        <f t="shared" si="7"/>
        <v>RICHARD MILBURN ACADEMY-ODESSA</v>
      </c>
      <c r="D226" t="s">
        <v>11</v>
      </c>
      <c r="E226" t="s">
        <v>199</v>
      </c>
      <c r="F226" t="s">
        <v>200</v>
      </c>
      <c r="G226">
        <v>79761</v>
      </c>
      <c r="H226">
        <v>2009</v>
      </c>
      <c r="I226" s="1">
        <v>8049.6</v>
      </c>
      <c r="J226" s="1">
        <v>10062</v>
      </c>
      <c r="K226" s="1">
        <v>8049.6</v>
      </c>
    </row>
    <row r="227" spans="1:11" x14ac:dyDescent="0.35">
      <c r="A227">
        <v>695588</v>
      </c>
      <c r="B227">
        <v>1910890</v>
      </c>
      <c r="C227" t="str">
        <f t="shared" si="7"/>
        <v>RICHARD MILBURN ACADEMY-ODESSA</v>
      </c>
      <c r="D227" t="s">
        <v>11</v>
      </c>
      <c r="E227" t="s">
        <v>199</v>
      </c>
      <c r="F227" t="s">
        <v>200</v>
      </c>
      <c r="G227">
        <v>79761</v>
      </c>
      <c r="H227">
        <v>2009</v>
      </c>
      <c r="I227" s="1">
        <v>815.9</v>
      </c>
      <c r="J227" s="1">
        <v>1019.88</v>
      </c>
      <c r="K227" s="1">
        <v>815.88</v>
      </c>
    </row>
    <row r="228" spans="1:11" x14ac:dyDescent="0.35">
      <c r="A228">
        <v>695588</v>
      </c>
      <c r="B228">
        <v>1911095</v>
      </c>
      <c r="C228" t="str">
        <f t="shared" si="7"/>
        <v>RICHARD MILBURN ACADEMY-ODESSA</v>
      </c>
      <c r="D228" t="s">
        <v>11</v>
      </c>
      <c r="E228" t="s">
        <v>199</v>
      </c>
      <c r="F228" t="s">
        <v>200</v>
      </c>
      <c r="G228">
        <v>79761</v>
      </c>
      <c r="H228">
        <v>2009</v>
      </c>
      <c r="I228" s="1">
        <v>0</v>
      </c>
      <c r="J228" s="1">
        <v>0</v>
      </c>
    </row>
    <row r="229" spans="1:11" x14ac:dyDescent="0.35">
      <c r="A229">
        <v>695588</v>
      </c>
      <c r="B229">
        <v>1910921</v>
      </c>
      <c r="C229" t="str">
        <f t="shared" si="7"/>
        <v>RICHARD MILBURN ACADEMY-ODESSA</v>
      </c>
      <c r="D229" t="s">
        <v>11</v>
      </c>
      <c r="E229" t="s">
        <v>199</v>
      </c>
      <c r="F229" t="s">
        <v>200</v>
      </c>
      <c r="G229">
        <v>79761</v>
      </c>
      <c r="H229">
        <v>2009</v>
      </c>
      <c r="I229" s="1">
        <v>3360</v>
      </c>
      <c r="J229" s="1">
        <v>4200</v>
      </c>
    </row>
    <row r="230" spans="1:11" x14ac:dyDescent="0.35">
      <c r="A230">
        <v>695498</v>
      </c>
      <c r="B230">
        <v>1910568</v>
      </c>
      <c r="C230" t="str">
        <f>"RICHARD MILBURN ACADEMY-S HOUSTON"</f>
        <v>RICHARD MILBURN ACADEMY-S HOUSTON</v>
      </c>
      <c r="D230" t="s">
        <v>11</v>
      </c>
      <c r="E230" t="s">
        <v>201</v>
      </c>
      <c r="F230" t="s">
        <v>15</v>
      </c>
      <c r="G230">
        <v>77073</v>
      </c>
      <c r="H230">
        <v>2009</v>
      </c>
      <c r="I230" s="1">
        <v>0</v>
      </c>
      <c r="J230" s="1">
        <v>0</v>
      </c>
    </row>
    <row r="231" spans="1:11" x14ac:dyDescent="0.35">
      <c r="A231">
        <v>695498</v>
      </c>
      <c r="B231">
        <v>1910590</v>
      </c>
      <c r="C231" t="str">
        <f>"RICHARD MILBURN ACADEMY-S HOUSTON"</f>
        <v>RICHARD MILBURN ACADEMY-S HOUSTON</v>
      </c>
      <c r="D231" t="s">
        <v>11</v>
      </c>
      <c r="E231" t="s">
        <v>201</v>
      </c>
      <c r="F231" t="s">
        <v>15</v>
      </c>
      <c r="G231">
        <v>77073</v>
      </c>
      <c r="H231">
        <v>2009</v>
      </c>
      <c r="I231" s="1">
        <v>0</v>
      </c>
      <c r="J231" s="1">
        <v>0</v>
      </c>
    </row>
    <row r="232" spans="1:11" x14ac:dyDescent="0.35">
      <c r="A232">
        <v>695498</v>
      </c>
      <c r="B232">
        <v>1910654</v>
      </c>
      <c r="C232" t="str">
        <f>"RICHARD MILBURN ACADEMY-S HOUSTON"</f>
        <v>RICHARD MILBURN ACADEMY-S HOUSTON</v>
      </c>
      <c r="D232" t="s">
        <v>11</v>
      </c>
      <c r="E232" t="s">
        <v>201</v>
      </c>
      <c r="F232" t="s">
        <v>15</v>
      </c>
      <c r="G232">
        <v>77073</v>
      </c>
      <c r="H232">
        <v>2009</v>
      </c>
      <c r="I232" s="1">
        <v>0</v>
      </c>
      <c r="J232" s="1">
        <v>0</v>
      </c>
    </row>
    <row r="233" spans="1:11" x14ac:dyDescent="0.35">
      <c r="A233">
        <v>695498</v>
      </c>
      <c r="B233">
        <v>1910428</v>
      </c>
      <c r="C233" t="str">
        <f>"RICHARD MILBURN ACADEMY-S HOUSTON"</f>
        <v>RICHARD MILBURN ACADEMY-S HOUSTON</v>
      </c>
      <c r="D233" t="s">
        <v>11</v>
      </c>
      <c r="E233" t="s">
        <v>201</v>
      </c>
      <c r="F233" t="s">
        <v>15</v>
      </c>
      <c r="G233">
        <v>77073</v>
      </c>
      <c r="H233">
        <v>2009</v>
      </c>
      <c r="I233" s="1">
        <v>917.89</v>
      </c>
      <c r="J233" s="1">
        <v>1019.88</v>
      </c>
      <c r="K233" s="1">
        <v>917.88</v>
      </c>
    </row>
    <row r="234" spans="1:11" x14ac:dyDescent="0.35">
      <c r="A234">
        <v>695498</v>
      </c>
      <c r="B234">
        <v>1910406</v>
      </c>
      <c r="C234" t="str">
        <f>"RICHARD MILBURN ACADEMY-S HOUSTON"</f>
        <v>RICHARD MILBURN ACADEMY-S HOUSTON</v>
      </c>
      <c r="D234" t="s">
        <v>11</v>
      </c>
      <c r="E234" t="s">
        <v>201</v>
      </c>
      <c r="F234" t="s">
        <v>15</v>
      </c>
      <c r="G234">
        <v>77073</v>
      </c>
      <c r="H234">
        <v>2009</v>
      </c>
      <c r="I234" s="1">
        <v>9055.7999999999993</v>
      </c>
      <c r="J234" s="1">
        <v>10062</v>
      </c>
      <c r="K234" s="1">
        <v>9055.7999999999993</v>
      </c>
    </row>
    <row r="235" spans="1:11" x14ac:dyDescent="0.35">
      <c r="A235">
        <v>694609</v>
      </c>
      <c r="B235">
        <v>1907180</v>
      </c>
      <c r="C235" t="str">
        <f>"RICHARD MILBURN ACADEMY/MIDLAND"</f>
        <v>RICHARD MILBURN ACADEMY/MIDLAND</v>
      </c>
      <c r="D235" t="s">
        <v>11</v>
      </c>
      <c r="E235" t="s">
        <v>202</v>
      </c>
      <c r="F235" t="s">
        <v>203</v>
      </c>
      <c r="G235">
        <v>79703</v>
      </c>
      <c r="H235">
        <v>2009</v>
      </c>
      <c r="I235" s="1">
        <v>0</v>
      </c>
      <c r="J235" s="1">
        <v>0</v>
      </c>
    </row>
    <row r="236" spans="1:11" x14ac:dyDescent="0.35">
      <c r="A236">
        <v>694609</v>
      </c>
      <c r="B236">
        <v>1907143</v>
      </c>
      <c r="C236" t="str">
        <f>"RICHARD MILBURN ACADEMY/MIDLAND"</f>
        <v>RICHARD MILBURN ACADEMY/MIDLAND</v>
      </c>
      <c r="D236" t="s">
        <v>11</v>
      </c>
      <c r="E236" t="s">
        <v>202</v>
      </c>
      <c r="F236" t="s">
        <v>203</v>
      </c>
      <c r="G236">
        <v>79703</v>
      </c>
      <c r="H236">
        <v>2009</v>
      </c>
      <c r="I236" s="1">
        <v>0</v>
      </c>
      <c r="J236" s="1">
        <v>0</v>
      </c>
    </row>
    <row r="237" spans="1:11" x14ac:dyDescent="0.35">
      <c r="A237">
        <v>694609</v>
      </c>
      <c r="B237">
        <v>1907268</v>
      </c>
      <c r="C237" t="str">
        <f>"RICHARD MILBURN ACADEMY/MIDLAND"</f>
        <v>RICHARD MILBURN ACADEMY/MIDLAND</v>
      </c>
      <c r="D237" t="s">
        <v>11</v>
      </c>
      <c r="E237" t="s">
        <v>202</v>
      </c>
      <c r="F237" t="s">
        <v>203</v>
      </c>
      <c r="G237">
        <v>79703</v>
      </c>
      <c r="H237">
        <v>2009</v>
      </c>
      <c r="I237" s="1">
        <v>882</v>
      </c>
      <c r="J237" s="1">
        <v>1102.5</v>
      </c>
    </row>
    <row r="238" spans="1:11" x14ac:dyDescent="0.35">
      <c r="A238">
        <v>694609</v>
      </c>
      <c r="B238">
        <v>1906860</v>
      </c>
      <c r="C238" t="str">
        <f>"RICHARD MILBURN ACADEMY/MIDLAND"</f>
        <v>RICHARD MILBURN ACADEMY/MIDLAND</v>
      </c>
      <c r="D238" t="s">
        <v>11</v>
      </c>
      <c r="E238" t="s">
        <v>202</v>
      </c>
      <c r="F238" t="s">
        <v>203</v>
      </c>
      <c r="G238">
        <v>79703</v>
      </c>
      <c r="H238">
        <v>2009</v>
      </c>
      <c r="I238" s="1">
        <v>0</v>
      </c>
      <c r="J238" s="1">
        <v>0</v>
      </c>
    </row>
    <row r="239" spans="1:11" x14ac:dyDescent="0.35">
      <c r="A239">
        <v>694609</v>
      </c>
      <c r="B239">
        <v>1906794</v>
      </c>
      <c r="C239" t="str">
        <f>"RICHARD MILBURN ACADEMY/MIDLAND"</f>
        <v>RICHARD MILBURN ACADEMY/MIDLAND</v>
      </c>
      <c r="D239" t="s">
        <v>11</v>
      </c>
      <c r="E239" t="s">
        <v>202</v>
      </c>
      <c r="F239" t="s">
        <v>203</v>
      </c>
      <c r="G239">
        <v>79703</v>
      </c>
      <c r="H239">
        <v>2009</v>
      </c>
      <c r="I239" s="1">
        <v>8049.6</v>
      </c>
      <c r="J239" s="1">
        <v>10062</v>
      </c>
    </row>
    <row r="240" spans="1:11" x14ac:dyDescent="0.35">
      <c r="A240">
        <v>686979</v>
      </c>
      <c r="B240">
        <v>1879867</v>
      </c>
      <c r="C240" t="str">
        <f>"RIO GRANDE MARINE INSTITUTE"</f>
        <v>RIO GRANDE MARINE INSTITUTE</v>
      </c>
      <c r="D240" t="s">
        <v>11</v>
      </c>
      <c r="E240" t="s">
        <v>204</v>
      </c>
      <c r="F240" t="s">
        <v>205</v>
      </c>
      <c r="G240">
        <v>78566</v>
      </c>
      <c r="H240">
        <v>2009</v>
      </c>
      <c r="I240" s="1">
        <v>5404.32</v>
      </c>
      <c r="J240" s="1">
        <v>6004.8</v>
      </c>
      <c r="K240" s="1">
        <v>5404.32</v>
      </c>
    </row>
    <row r="241" spans="1:11" x14ac:dyDescent="0.35">
      <c r="A241">
        <v>671219</v>
      </c>
      <c r="B241">
        <v>1832124</v>
      </c>
      <c r="C241" t="str">
        <f>"RIVER OAKS BAPTIST SCHOOL"</f>
        <v>RIVER OAKS BAPTIST SCHOOL</v>
      </c>
      <c r="D241" t="s">
        <v>11</v>
      </c>
      <c r="E241" t="s">
        <v>206</v>
      </c>
      <c r="F241" t="s">
        <v>15</v>
      </c>
      <c r="G241">
        <v>77027</v>
      </c>
      <c r="H241">
        <v>2009</v>
      </c>
      <c r="I241" s="1">
        <v>191.98</v>
      </c>
      <c r="J241" s="1">
        <v>959.88</v>
      </c>
      <c r="K241" s="1">
        <v>191.98</v>
      </c>
    </row>
    <row r="242" spans="1:11" x14ac:dyDescent="0.35">
      <c r="A242">
        <v>671219</v>
      </c>
      <c r="B242">
        <v>1832255</v>
      </c>
      <c r="C242" t="str">
        <f>"RIVER OAKS BAPTIST SCHOOL"</f>
        <v>RIVER OAKS BAPTIST SCHOOL</v>
      </c>
      <c r="D242" t="s">
        <v>11</v>
      </c>
      <c r="E242" t="s">
        <v>206</v>
      </c>
      <c r="F242" t="s">
        <v>15</v>
      </c>
      <c r="G242">
        <v>77027</v>
      </c>
      <c r="H242">
        <v>2009</v>
      </c>
      <c r="I242" s="1">
        <v>1174.92</v>
      </c>
      <c r="J242" s="1">
        <v>5874.6</v>
      </c>
      <c r="K242" s="1">
        <v>1035.52</v>
      </c>
    </row>
    <row r="243" spans="1:11" x14ac:dyDescent="0.35">
      <c r="A243">
        <v>671219</v>
      </c>
      <c r="B243">
        <v>1832322</v>
      </c>
      <c r="C243" t="str">
        <f>"RIVER OAKS BAPTIST SCHOOL"</f>
        <v>RIVER OAKS BAPTIST SCHOOL</v>
      </c>
      <c r="D243" t="s">
        <v>11</v>
      </c>
      <c r="E243" t="s">
        <v>206</v>
      </c>
      <c r="F243" t="s">
        <v>15</v>
      </c>
      <c r="G243">
        <v>77027</v>
      </c>
      <c r="H243">
        <v>2009</v>
      </c>
      <c r="I243" s="1">
        <v>347.59</v>
      </c>
      <c r="J243" s="1">
        <v>1737.96</v>
      </c>
      <c r="K243" s="1">
        <v>347.59</v>
      </c>
    </row>
    <row r="244" spans="1:11" x14ac:dyDescent="0.35">
      <c r="A244">
        <v>661494</v>
      </c>
      <c r="B244">
        <v>1807352</v>
      </c>
      <c r="C244" t="str">
        <f>"SACRED HEART ELEMENTARY SCHOOL"</f>
        <v>SACRED HEART ELEMENTARY SCHOOL</v>
      </c>
      <c r="D244" t="s">
        <v>11</v>
      </c>
      <c r="E244" t="s">
        <v>207</v>
      </c>
      <c r="F244" t="s">
        <v>208</v>
      </c>
      <c r="G244">
        <v>78382</v>
      </c>
      <c r="H244">
        <v>2009</v>
      </c>
      <c r="I244" s="1">
        <v>1344</v>
      </c>
      <c r="J244" s="1">
        <v>1920</v>
      </c>
      <c r="K244" s="1">
        <v>1343.64</v>
      </c>
    </row>
    <row r="245" spans="1:11" x14ac:dyDescent="0.35">
      <c r="A245">
        <v>675462</v>
      </c>
      <c r="B245">
        <v>1856075</v>
      </c>
      <c r="C245" t="str">
        <f>"SACRED HEART ELEMENTARY SCHOOL-CONROE"</f>
        <v>SACRED HEART ELEMENTARY SCHOOL-CONROE</v>
      </c>
      <c r="D245" t="s">
        <v>11</v>
      </c>
      <c r="E245" t="s">
        <v>209</v>
      </c>
      <c r="F245" t="s">
        <v>210</v>
      </c>
      <c r="G245">
        <v>77301</v>
      </c>
      <c r="H245">
        <v>2009</v>
      </c>
      <c r="I245" s="1">
        <v>479.7</v>
      </c>
      <c r="J245" s="1">
        <v>959.4</v>
      </c>
      <c r="K245" s="1">
        <v>479.7</v>
      </c>
    </row>
    <row r="246" spans="1:11" x14ac:dyDescent="0.35">
      <c r="A246">
        <v>679703</v>
      </c>
      <c r="B246">
        <v>1856298</v>
      </c>
      <c r="C246" t="str">
        <f>"SACRED HEART ELEMENTARY SCHOOL-CROSBY"</f>
        <v>SACRED HEART ELEMENTARY SCHOOL-CROSBY</v>
      </c>
      <c r="D246" t="s">
        <v>11</v>
      </c>
      <c r="E246" t="s">
        <v>211</v>
      </c>
      <c r="F246" t="s">
        <v>212</v>
      </c>
      <c r="G246">
        <v>77532</v>
      </c>
      <c r="H246">
        <v>2009</v>
      </c>
      <c r="I246" s="1">
        <v>62.4</v>
      </c>
      <c r="J246" s="1">
        <v>156</v>
      </c>
      <c r="K246" s="1">
        <v>62.4</v>
      </c>
    </row>
    <row r="247" spans="1:11" x14ac:dyDescent="0.35">
      <c r="A247">
        <v>680484</v>
      </c>
      <c r="B247">
        <v>1873435</v>
      </c>
      <c r="C247" t="str">
        <f>"SCHOOL OF SCIENCE AND TECHNOLOGY-DISCOVERY"</f>
        <v>SCHOOL OF SCIENCE AND TECHNOLOGY-DISCOVERY</v>
      </c>
      <c r="D247" t="s">
        <v>11</v>
      </c>
      <c r="E247" t="s">
        <v>213</v>
      </c>
      <c r="F247" t="s">
        <v>214</v>
      </c>
      <c r="G247">
        <v>78238</v>
      </c>
      <c r="H247">
        <v>2009</v>
      </c>
      <c r="I247" s="1">
        <v>0</v>
      </c>
      <c r="J247" s="1">
        <v>0</v>
      </c>
    </row>
    <row r="248" spans="1:11" x14ac:dyDescent="0.35">
      <c r="A248">
        <v>691113</v>
      </c>
      <c r="B248">
        <v>1901209</v>
      </c>
      <c r="C248" t="str">
        <f>"SER-NINOS CHARTER SCHOOL"</f>
        <v>SER-NINOS CHARTER SCHOOL</v>
      </c>
      <c r="D248" t="s">
        <v>11</v>
      </c>
      <c r="E248" t="s">
        <v>215</v>
      </c>
      <c r="F248" t="s">
        <v>15</v>
      </c>
      <c r="G248">
        <v>77081</v>
      </c>
      <c r="H248">
        <v>2009</v>
      </c>
      <c r="I248" s="1">
        <v>8242.1299999999992</v>
      </c>
      <c r="J248" s="1">
        <v>9157.92</v>
      </c>
      <c r="K248" s="1">
        <v>8242.1299999999992</v>
      </c>
    </row>
    <row r="249" spans="1:11" x14ac:dyDescent="0.35">
      <c r="A249">
        <v>675463</v>
      </c>
      <c r="B249">
        <v>1856453</v>
      </c>
      <c r="C249" t="str">
        <f>"SETON CATHOLIC JR HIGH SCHOOL"</f>
        <v>SETON CATHOLIC JR HIGH SCHOOL</v>
      </c>
      <c r="D249" t="s">
        <v>11</v>
      </c>
      <c r="E249" t="s">
        <v>216</v>
      </c>
      <c r="F249" t="s">
        <v>15</v>
      </c>
      <c r="G249">
        <v>77037</v>
      </c>
      <c r="H249">
        <v>2009</v>
      </c>
      <c r="I249" s="1">
        <v>912.92</v>
      </c>
      <c r="J249" s="1">
        <v>1014.36</v>
      </c>
      <c r="K249" s="1">
        <v>912.92</v>
      </c>
    </row>
    <row r="250" spans="1:11" x14ac:dyDescent="0.35">
      <c r="A250">
        <v>675463</v>
      </c>
      <c r="B250">
        <v>1856517</v>
      </c>
      <c r="C250" t="str">
        <f>"SETON CATHOLIC JR HIGH SCHOOL"</f>
        <v>SETON CATHOLIC JR HIGH SCHOOL</v>
      </c>
      <c r="D250" t="s">
        <v>11</v>
      </c>
      <c r="E250" t="s">
        <v>216</v>
      </c>
      <c r="F250" t="s">
        <v>15</v>
      </c>
      <c r="G250">
        <v>77037</v>
      </c>
      <c r="H250">
        <v>2009</v>
      </c>
      <c r="I250" s="1">
        <v>6570.18</v>
      </c>
      <c r="J250" s="1">
        <v>7300.2</v>
      </c>
      <c r="K250" s="1">
        <v>6570.18</v>
      </c>
    </row>
    <row r="251" spans="1:11" x14ac:dyDescent="0.35">
      <c r="A251">
        <v>685859</v>
      </c>
      <c r="B251">
        <v>1876200</v>
      </c>
      <c r="C251" t="str">
        <f>"SFA ELEMENTARY"</f>
        <v>SFA ELEMENTARY</v>
      </c>
      <c r="D251" t="s">
        <v>11</v>
      </c>
      <c r="E251" t="s">
        <v>217</v>
      </c>
      <c r="F251" t="s">
        <v>218</v>
      </c>
      <c r="G251">
        <v>77535</v>
      </c>
      <c r="H251">
        <v>2009</v>
      </c>
      <c r="I251" s="1">
        <v>14692.64</v>
      </c>
      <c r="J251" s="1">
        <v>18365.8</v>
      </c>
    </row>
    <row r="252" spans="1:11" x14ac:dyDescent="0.35">
      <c r="A252">
        <v>657466</v>
      </c>
      <c r="B252">
        <v>1820699</v>
      </c>
      <c r="C252" t="str">
        <f>"SOUTHLAND ISD"</f>
        <v>SOUTHLAND ISD</v>
      </c>
      <c r="D252" t="s">
        <v>11</v>
      </c>
      <c r="E252" t="s">
        <v>219</v>
      </c>
      <c r="F252" t="s">
        <v>220</v>
      </c>
      <c r="G252">
        <v>79364</v>
      </c>
      <c r="H252">
        <v>2009</v>
      </c>
      <c r="I252" s="1">
        <v>25920</v>
      </c>
      <c r="J252" s="1">
        <v>28800</v>
      </c>
      <c r="K252" s="1">
        <v>7105.05</v>
      </c>
    </row>
    <row r="253" spans="1:11" x14ac:dyDescent="0.35">
      <c r="A253">
        <v>675467</v>
      </c>
      <c r="B253">
        <v>1856731</v>
      </c>
      <c r="C253" t="str">
        <f>"ST AMBROSE SCHOOL"</f>
        <v>ST AMBROSE SCHOOL</v>
      </c>
      <c r="D253" t="s">
        <v>11</v>
      </c>
      <c r="E253" t="s">
        <v>221</v>
      </c>
      <c r="F253" t="s">
        <v>15</v>
      </c>
      <c r="G253">
        <v>77092</v>
      </c>
      <c r="H253">
        <v>2009</v>
      </c>
      <c r="I253" s="1">
        <v>907.2</v>
      </c>
      <c r="J253" s="1">
        <v>2268</v>
      </c>
      <c r="K253" s="1">
        <v>628.20000000000005</v>
      </c>
    </row>
    <row r="254" spans="1:11" x14ac:dyDescent="0.35">
      <c r="A254">
        <v>675467</v>
      </c>
      <c r="B254">
        <v>1856682</v>
      </c>
      <c r="C254" t="str">
        <f>"ST AMBROSE SCHOOL"</f>
        <v>ST AMBROSE SCHOOL</v>
      </c>
      <c r="D254" t="s">
        <v>11</v>
      </c>
      <c r="E254" t="s">
        <v>221</v>
      </c>
      <c r="F254" t="s">
        <v>15</v>
      </c>
      <c r="G254">
        <v>77092</v>
      </c>
      <c r="H254">
        <v>2009</v>
      </c>
      <c r="I254" s="1">
        <v>379.73</v>
      </c>
      <c r="J254" s="1">
        <v>949.32</v>
      </c>
      <c r="K254" s="1">
        <v>379.73</v>
      </c>
    </row>
    <row r="255" spans="1:11" x14ac:dyDescent="0.35">
      <c r="A255">
        <v>675475</v>
      </c>
      <c r="B255">
        <v>1856910</v>
      </c>
      <c r="C255" t="str">
        <f>"ST ANNE SCHOOL-HOUSTON"</f>
        <v>ST ANNE SCHOOL-HOUSTON</v>
      </c>
      <c r="D255" t="s">
        <v>11</v>
      </c>
      <c r="E255" t="s">
        <v>222</v>
      </c>
      <c r="F255" t="s">
        <v>15</v>
      </c>
      <c r="G255">
        <v>77098</v>
      </c>
      <c r="H255">
        <v>2009</v>
      </c>
      <c r="I255" s="1">
        <v>5202.91</v>
      </c>
      <c r="J255" s="1">
        <v>13007.28</v>
      </c>
      <c r="K255" s="1">
        <v>5202.91</v>
      </c>
    </row>
    <row r="256" spans="1:11" x14ac:dyDescent="0.35">
      <c r="A256">
        <v>690825</v>
      </c>
      <c r="B256">
        <v>1893993</v>
      </c>
      <c r="C256" t="str">
        <f>"ST ANTHONY ELEMENTARY SCHOOL"</f>
        <v>ST ANTHONY ELEMENTARY SCHOOL</v>
      </c>
      <c r="D256" t="s">
        <v>11</v>
      </c>
      <c r="E256" t="s">
        <v>223</v>
      </c>
      <c r="F256" t="s">
        <v>224</v>
      </c>
      <c r="G256">
        <v>78934</v>
      </c>
      <c r="H256">
        <v>2009</v>
      </c>
      <c r="I256" s="1">
        <v>1500</v>
      </c>
      <c r="J256" s="1">
        <v>3000</v>
      </c>
      <c r="K256" s="1">
        <v>1500</v>
      </c>
    </row>
    <row r="257" spans="1:11" x14ac:dyDescent="0.35">
      <c r="A257">
        <v>665469</v>
      </c>
      <c r="B257">
        <v>1816636</v>
      </c>
      <c r="C257" t="str">
        <f>"ST ANTHONY SCHOOL"</f>
        <v>ST ANTHONY SCHOOL</v>
      </c>
      <c r="D257" t="s">
        <v>11</v>
      </c>
      <c r="E257" t="s">
        <v>225</v>
      </c>
      <c r="F257" t="s">
        <v>226</v>
      </c>
      <c r="G257">
        <v>78550</v>
      </c>
      <c r="H257">
        <v>2009</v>
      </c>
      <c r="I257" s="1">
        <v>336</v>
      </c>
      <c r="J257" s="1">
        <v>840</v>
      </c>
    </row>
    <row r="258" spans="1:11" x14ac:dyDescent="0.35">
      <c r="A258">
        <v>663049</v>
      </c>
      <c r="B258">
        <v>1810700</v>
      </c>
      <c r="C258" t="str">
        <f>"ST ANTHONY SCHOOL"</f>
        <v>ST ANTHONY SCHOOL</v>
      </c>
      <c r="D258" t="s">
        <v>11</v>
      </c>
      <c r="E258" t="s">
        <v>227</v>
      </c>
      <c r="F258" t="s">
        <v>38</v>
      </c>
      <c r="G258">
        <v>78212</v>
      </c>
      <c r="H258">
        <v>2009</v>
      </c>
      <c r="I258" s="1">
        <v>327.36</v>
      </c>
      <c r="J258" s="1">
        <v>818.4</v>
      </c>
    </row>
    <row r="259" spans="1:11" x14ac:dyDescent="0.35">
      <c r="A259">
        <v>663049</v>
      </c>
      <c r="B259">
        <v>1810690</v>
      </c>
      <c r="C259" t="str">
        <f>"ST ANTHONY SCHOOL"</f>
        <v>ST ANTHONY SCHOOL</v>
      </c>
      <c r="D259" t="s">
        <v>11</v>
      </c>
      <c r="E259" t="s">
        <v>227</v>
      </c>
      <c r="F259" t="s">
        <v>38</v>
      </c>
      <c r="G259">
        <v>78212</v>
      </c>
      <c r="H259">
        <v>2009</v>
      </c>
      <c r="I259" s="1">
        <v>132.29</v>
      </c>
      <c r="J259" s="1">
        <v>330.72</v>
      </c>
      <c r="K259" s="1">
        <v>132.29</v>
      </c>
    </row>
    <row r="260" spans="1:11" x14ac:dyDescent="0.35">
      <c r="A260">
        <v>663049</v>
      </c>
      <c r="B260">
        <v>1810688</v>
      </c>
      <c r="C260" t="str">
        <f>"ST ANTHONY SCHOOL"</f>
        <v>ST ANTHONY SCHOOL</v>
      </c>
      <c r="D260" t="s">
        <v>11</v>
      </c>
      <c r="E260" t="s">
        <v>227</v>
      </c>
      <c r="F260" t="s">
        <v>38</v>
      </c>
      <c r="G260">
        <v>78212</v>
      </c>
      <c r="H260">
        <v>2009</v>
      </c>
      <c r="I260" s="1">
        <v>767.76</v>
      </c>
      <c r="J260" s="1">
        <v>1919.4</v>
      </c>
      <c r="K260" s="1">
        <v>212.02</v>
      </c>
    </row>
    <row r="261" spans="1:11" x14ac:dyDescent="0.35">
      <c r="A261">
        <v>667370</v>
      </c>
      <c r="B261">
        <v>1823880</v>
      </c>
      <c r="C261" t="str">
        <f>"ST BERNARD OF CLAIRVAUX SCHOOL"</f>
        <v>ST BERNARD OF CLAIRVAUX SCHOOL</v>
      </c>
      <c r="D261" t="s">
        <v>11</v>
      </c>
      <c r="E261" t="s">
        <v>228</v>
      </c>
      <c r="F261" t="s">
        <v>20</v>
      </c>
      <c r="G261">
        <v>75218</v>
      </c>
      <c r="H261">
        <v>2009</v>
      </c>
      <c r="I261" s="1">
        <v>891</v>
      </c>
      <c r="J261" s="1">
        <v>1782</v>
      </c>
    </row>
    <row r="262" spans="1:11" x14ac:dyDescent="0.35">
      <c r="A262">
        <v>667370</v>
      </c>
      <c r="B262">
        <v>1823889</v>
      </c>
      <c r="C262" t="str">
        <f>"ST BERNARD OF CLAIRVAUX SCHOOL"</f>
        <v>ST BERNARD OF CLAIRVAUX SCHOOL</v>
      </c>
      <c r="D262" t="s">
        <v>11</v>
      </c>
      <c r="E262" t="s">
        <v>228</v>
      </c>
      <c r="F262" t="s">
        <v>20</v>
      </c>
      <c r="G262">
        <v>75218</v>
      </c>
      <c r="H262">
        <v>2009</v>
      </c>
      <c r="I262" s="1">
        <v>0</v>
      </c>
      <c r="J262" s="1">
        <v>0</v>
      </c>
    </row>
    <row r="263" spans="1:11" x14ac:dyDescent="0.35">
      <c r="A263">
        <v>680353</v>
      </c>
      <c r="B263">
        <v>1858174</v>
      </c>
      <c r="C263" t="str">
        <f>"ST CECILIA SCHOOL"</f>
        <v>ST CECILIA SCHOOL</v>
      </c>
      <c r="D263" t="s">
        <v>11</v>
      </c>
      <c r="E263" t="s">
        <v>229</v>
      </c>
      <c r="F263" t="s">
        <v>15</v>
      </c>
      <c r="G263">
        <v>77024</v>
      </c>
      <c r="H263">
        <v>2009</v>
      </c>
      <c r="I263" s="1">
        <v>960.14</v>
      </c>
      <c r="J263" s="1">
        <v>4800.72</v>
      </c>
      <c r="K263" s="1">
        <v>797.47</v>
      </c>
    </row>
    <row r="264" spans="1:11" x14ac:dyDescent="0.35">
      <c r="A264">
        <v>680786</v>
      </c>
      <c r="B264">
        <v>1859626</v>
      </c>
      <c r="C264" t="str">
        <f>"ST CECILIA'S SCHOOL"</f>
        <v>ST CECILIA'S SCHOOL</v>
      </c>
      <c r="D264" t="s">
        <v>11</v>
      </c>
      <c r="E264" t="s">
        <v>230</v>
      </c>
      <c r="F264" t="s">
        <v>38</v>
      </c>
      <c r="G264">
        <v>78210</v>
      </c>
      <c r="H264">
        <v>2009</v>
      </c>
      <c r="I264" s="1">
        <v>1432.8</v>
      </c>
      <c r="J264" s="1">
        <v>2388</v>
      </c>
      <c r="K264" s="1">
        <v>1432.8</v>
      </c>
    </row>
    <row r="265" spans="1:11" x14ac:dyDescent="0.35">
      <c r="A265">
        <v>680435</v>
      </c>
      <c r="B265">
        <v>1858435</v>
      </c>
      <c r="C265" t="str">
        <f>"ST CHRISTOPHER SCHOOL"</f>
        <v>ST CHRISTOPHER SCHOOL</v>
      </c>
      <c r="D265" t="s">
        <v>11</v>
      </c>
      <c r="E265" t="s">
        <v>231</v>
      </c>
      <c r="F265" t="s">
        <v>15</v>
      </c>
      <c r="G265">
        <v>77017</v>
      </c>
      <c r="H265">
        <v>2009</v>
      </c>
      <c r="I265" s="1">
        <v>906.66</v>
      </c>
      <c r="J265" s="1">
        <v>1007.4</v>
      </c>
      <c r="K265" s="1">
        <v>906.66</v>
      </c>
    </row>
    <row r="266" spans="1:11" x14ac:dyDescent="0.35">
      <c r="A266">
        <v>680435</v>
      </c>
      <c r="B266">
        <v>1858501</v>
      </c>
      <c r="C266" t="str">
        <f>"ST CHRISTOPHER SCHOOL"</f>
        <v>ST CHRISTOPHER SCHOOL</v>
      </c>
      <c r="D266" t="s">
        <v>11</v>
      </c>
      <c r="E266" t="s">
        <v>231</v>
      </c>
      <c r="F266" t="s">
        <v>15</v>
      </c>
      <c r="G266">
        <v>77017</v>
      </c>
      <c r="H266">
        <v>2009</v>
      </c>
      <c r="I266" s="1">
        <v>0</v>
      </c>
      <c r="J266" s="1">
        <v>0</v>
      </c>
    </row>
    <row r="267" spans="1:11" x14ac:dyDescent="0.35">
      <c r="A267">
        <v>680510</v>
      </c>
      <c r="B267">
        <v>1858702</v>
      </c>
      <c r="C267" t="str">
        <f>"ST CLAIRE OF ASSISI"</f>
        <v>ST CLAIRE OF ASSISI</v>
      </c>
      <c r="D267" t="s">
        <v>11</v>
      </c>
      <c r="E267" t="s">
        <v>232</v>
      </c>
      <c r="F267" t="s">
        <v>15</v>
      </c>
      <c r="G267">
        <v>77059</v>
      </c>
      <c r="H267">
        <v>2009</v>
      </c>
      <c r="I267" s="1">
        <v>418.37</v>
      </c>
      <c r="J267" s="1">
        <v>1045.92</v>
      </c>
      <c r="K267" s="1">
        <v>418.37</v>
      </c>
    </row>
    <row r="268" spans="1:11" x14ac:dyDescent="0.35">
      <c r="A268">
        <v>682335</v>
      </c>
      <c r="B268">
        <v>1864893</v>
      </c>
      <c r="C268" t="str">
        <f>"ST ELIZABETH ANN SETON SCHOOL"</f>
        <v>ST ELIZABETH ANN SETON SCHOOL</v>
      </c>
      <c r="D268" t="s">
        <v>11</v>
      </c>
      <c r="E268" t="s">
        <v>233</v>
      </c>
      <c r="F268" t="s">
        <v>15</v>
      </c>
      <c r="G268">
        <v>77084</v>
      </c>
      <c r="H268">
        <v>2009</v>
      </c>
      <c r="I268" s="1">
        <v>371.81</v>
      </c>
      <c r="J268" s="1">
        <v>929.52</v>
      </c>
      <c r="K268" s="1">
        <v>371.81</v>
      </c>
    </row>
    <row r="269" spans="1:11" x14ac:dyDescent="0.35">
      <c r="A269">
        <v>682436</v>
      </c>
      <c r="B269">
        <v>1865124</v>
      </c>
      <c r="C269" t="str">
        <f>"ST FRANCIS DE SALES SCHOOL"</f>
        <v>ST FRANCIS DE SALES SCHOOL</v>
      </c>
      <c r="D269" t="s">
        <v>11</v>
      </c>
      <c r="E269" t="s">
        <v>234</v>
      </c>
      <c r="F269" t="s">
        <v>15</v>
      </c>
      <c r="G269">
        <v>77036</v>
      </c>
      <c r="H269">
        <v>2009</v>
      </c>
      <c r="I269" s="1">
        <v>1860</v>
      </c>
      <c r="J269" s="1">
        <v>3720</v>
      </c>
      <c r="K269" s="1">
        <v>1860</v>
      </c>
    </row>
    <row r="270" spans="1:11" x14ac:dyDescent="0.35">
      <c r="A270">
        <v>682517</v>
      </c>
      <c r="B270">
        <v>1865403</v>
      </c>
      <c r="C270" t="str">
        <f>"ST FRANCIS OF ASSISI SCHOOL"</f>
        <v>ST FRANCIS OF ASSISI SCHOOL</v>
      </c>
      <c r="D270" t="s">
        <v>11</v>
      </c>
      <c r="E270" t="s">
        <v>235</v>
      </c>
      <c r="F270" t="s">
        <v>15</v>
      </c>
      <c r="G270">
        <v>77026</v>
      </c>
      <c r="H270">
        <v>2009</v>
      </c>
      <c r="I270" s="1">
        <v>7089.98</v>
      </c>
      <c r="J270" s="1">
        <v>7877.76</v>
      </c>
      <c r="K270" s="1">
        <v>7089.98</v>
      </c>
    </row>
    <row r="271" spans="1:11" x14ac:dyDescent="0.35">
      <c r="A271">
        <v>682517</v>
      </c>
      <c r="B271">
        <v>1865341</v>
      </c>
      <c r="C271" t="str">
        <f>"ST FRANCIS OF ASSISI SCHOOL"</f>
        <v>ST FRANCIS OF ASSISI SCHOOL</v>
      </c>
      <c r="D271" t="s">
        <v>11</v>
      </c>
      <c r="E271" t="s">
        <v>235</v>
      </c>
      <c r="F271" t="s">
        <v>15</v>
      </c>
      <c r="G271">
        <v>77026</v>
      </c>
      <c r="H271">
        <v>2009</v>
      </c>
      <c r="I271" s="1">
        <v>2211.3000000000002</v>
      </c>
      <c r="J271" s="1">
        <v>2457</v>
      </c>
      <c r="K271" s="1">
        <v>2211.3000000000002</v>
      </c>
    </row>
    <row r="272" spans="1:11" x14ac:dyDescent="0.35">
      <c r="A272">
        <v>682643</v>
      </c>
      <c r="B272">
        <v>1865645</v>
      </c>
      <c r="C272" t="str">
        <f>"ST HELEN SCHOOL"</f>
        <v>ST HELEN SCHOOL</v>
      </c>
      <c r="D272" t="s">
        <v>11</v>
      </c>
      <c r="E272" t="s">
        <v>236</v>
      </c>
      <c r="F272" t="s">
        <v>237</v>
      </c>
      <c r="G272">
        <v>77581</v>
      </c>
      <c r="H272">
        <v>2009</v>
      </c>
      <c r="I272" s="1">
        <v>197.9</v>
      </c>
      <c r="J272" s="1">
        <v>494.76</v>
      </c>
      <c r="K272" s="1">
        <v>197.9</v>
      </c>
    </row>
    <row r="273" spans="1:11" x14ac:dyDescent="0.35">
      <c r="A273">
        <v>684185</v>
      </c>
      <c r="B273">
        <v>1870644</v>
      </c>
      <c r="C273" t="str">
        <f>"ST JAMES EPISCOPAL SCHOOL"</f>
        <v>ST JAMES EPISCOPAL SCHOOL</v>
      </c>
      <c r="D273" t="s">
        <v>11</v>
      </c>
      <c r="E273" t="s">
        <v>238</v>
      </c>
      <c r="F273" t="s">
        <v>193</v>
      </c>
      <c r="G273">
        <v>78401</v>
      </c>
      <c r="H273">
        <v>2009</v>
      </c>
      <c r="I273" s="1">
        <v>1007.76</v>
      </c>
      <c r="J273" s="1">
        <v>2519.4</v>
      </c>
      <c r="K273" s="1">
        <v>927.76</v>
      </c>
    </row>
    <row r="274" spans="1:11" x14ac:dyDescent="0.35">
      <c r="A274">
        <v>682700</v>
      </c>
      <c r="B274">
        <v>1895173</v>
      </c>
      <c r="C274" t="str">
        <f>"ST JEROME SCHOOL"</f>
        <v>ST JEROME SCHOOL</v>
      </c>
      <c r="D274" t="s">
        <v>11</v>
      </c>
      <c r="E274" t="s">
        <v>239</v>
      </c>
      <c r="F274" t="s">
        <v>15</v>
      </c>
      <c r="G274">
        <v>77080</v>
      </c>
      <c r="H274">
        <v>2009</v>
      </c>
      <c r="I274" s="1">
        <v>1157.04</v>
      </c>
      <c r="J274" s="1">
        <v>2314.08</v>
      </c>
      <c r="K274" s="1">
        <v>1157.04</v>
      </c>
    </row>
    <row r="275" spans="1:11" x14ac:dyDescent="0.35">
      <c r="A275">
        <v>691216</v>
      </c>
      <c r="B275">
        <v>1907383</v>
      </c>
      <c r="C275" t="str">
        <f>"ST JOHN BOSCO SCHOOL"</f>
        <v>ST JOHN BOSCO SCHOOL</v>
      </c>
      <c r="D275" t="s">
        <v>11</v>
      </c>
      <c r="E275" t="s">
        <v>240</v>
      </c>
      <c r="F275" t="s">
        <v>38</v>
      </c>
      <c r="G275">
        <v>78237</v>
      </c>
      <c r="H275">
        <v>2009</v>
      </c>
      <c r="I275" s="1">
        <v>13051.78</v>
      </c>
      <c r="J275" s="1">
        <v>16314.72</v>
      </c>
      <c r="K275" s="1">
        <v>13051.78</v>
      </c>
    </row>
    <row r="276" spans="1:11" x14ac:dyDescent="0.35">
      <c r="A276">
        <v>691216</v>
      </c>
      <c r="B276">
        <v>1907878</v>
      </c>
      <c r="C276" t="str">
        <f>"ST JOHN BOSCO SCHOOL"</f>
        <v>ST JOHN BOSCO SCHOOL</v>
      </c>
      <c r="D276" t="s">
        <v>11</v>
      </c>
      <c r="E276" t="s">
        <v>240</v>
      </c>
      <c r="F276" t="s">
        <v>38</v>
      </c>
      <c r="G276">
        <v>78237</v>
      </c>
      <c r="H276">
        <v>2009</v>
      </c>
      <c r="I276" s="1">
        <v>92</v>
      </c>
      <c r="J276" s="1">
        <v>115</v>
      </c>
      <c r="K276" s="1">
        <v>73.599999999999994</v>
      </c>
    </row>
    <row r="277" spans="1:11" x14ac:dyDescent="0.35">
      <c r="A277">
        <v>691216</v>
      </c>
      <c r="B277">
        <v>1907814</v>
      </c>
      <c r="C277" t="str">
        <f>"ST JOHN BOSCO SCHOOL"</f>
        <v>ST JOHN BOSCO SCHOOL</v>
      </c>
      <c r="D277" t="s">
        <v>11</v>
      </c>
      <c r="E277" t="s">
        <v>240</v>
      </c>
      <c r="F277" t="s">
        <v>38</v>
      </c>
      <c r="G277">
        <v>78237</v>
      </c>
      <c r="H277">
        <v>2009</v>
      </c>
      <c r="I277" s="1">
        <v>588.79999999999995</v>
      </c>
      <c r="J277" s="1">
        <v>736</v>
      </c>
      <c r="K277" s="1">
        <v>588.79999999999995</v>
      </c>
    </row>
    <row r="278" spans="1:11" x14ac:dyDescent="0.35">
      <c r="A278">
        <v>690763</v>
      </c>
      <c r="B278">
        <v>1893251</v>
      </c>
      <c r="C278" t="str">
        <f>"ST JOSEPH CATHOLIC ELEM SCHOOL"</f>
        <v>ST JOSEPH CATHOLIC ELEM SCHOOL</v>
      </c>
      <c r="D278" t="s">
        <v>11</v>
      </c>
      <c r="E278" t="s">
        <v>241</v>
      </c>
      <c r="F278" t="s">
        <v>242</v>
      </c>
      <c r="G278">
        <v>75165</v>
      </c>
      <c r="H278">
        <v>2009</v>
      </c>
      <c r="I278" s="1">
        <v>191.95</v>
      </c>
      <c r="J278" s="1">
        <v>959.76</v>
      </c>
      <c r="K278" s="1">
        <v>191.95</v>
      </c>
    </row>
    <row r="279" spans="1:11" x14ac:dyDescent="0.35">
      <c r="A279">
        <v>690763</v>
      </c>
      <c r="B279">
        <v>1897796</v>
      </c>
      <c r="C279" t="str">
        <f>"ST JOSEPH CATHOLIC ELEM SCHOOL"</f>
        <v>ST JOSEPH CATHOLIC ELEM SCHOOL</v>
      </c>
      <c r="D279" t="s">
        <v>11</v>
      </c>
      <c r="E279" t="s">
        <v>241</v>
      </c>
      <c r="F279" t="s">
        <v>242</v>
      </c>
      <c r="G279">
        <v>75165</v>
      </c>
      <c r="H279">
        <v>2009</v>
      </c>
      <c r="I279" s="1">
        <v>0</v>
      </c>
      <c r="J279" s="1">
        <v>0</v>
      </c>
    </row>
    <row r="280" spans="1:11" x14ac:dyDescent="0.35">
      <c r="A280">
        <v>695817</v>
      </c>
      <c r="B280">
        <v>1911939</v>
      </c>
      <c r="C280" t="str">
        <f>"ST JOSEPH ELEMENTARY SCHOOL"</f>
        <v>ST JOSEPH ELEMENTARY SCHOOL</v>
      </c>
      <c r="D280" t="s">
        <v>11</v>
      </c>
      <c r="E280" t="s">
        <v>243</v>
      </c>
      <c r="F280" t="s">
        <v>111</v>
      </c>
      <c r="G280">
        <v>79110</v>
      </c>
      <c r="H280">
        <v>2009</v>
      </c>
      <c r="I280" s="1">
        <v>767.52</v>
      </c>
      <c r="J280" s="1">
        <v>959.4</v>
      </c>
      <c r="K280" s="1">
        <v>671.04</v>
      </c>
    </row>
    <row r="281" spans="1:11" x14ac:dyDescent="0.35">
      <c r="A281">
        <v>682834</v>
      </c>
      <c r="B281">
        <v>1866387</v>
      </c>
      <c r="C281" t="str">
        <f>"ST JOSEPH ELEMENTARY SCHOOL"</f>
        <v>ST JOSEPH ELEMENTARY SCHOOL</v>
      </c>
      <c r="D281" t="s">
        <v>11</v>
      </c>
      <c r="E281" t="s">
        <v>244</v>
      </c>
      <c r="F281" t="s">
        <v>245</v>
      </c>
      <c r="G281">
        <v>77520</v>
      </c>
      <c r="H281">
        <v>2009</v>
      </c>
      <c r="I281" s="1">
        <v>608.26</v>
      </c>
      <c r="J281" s="1">
        <v>1013.76</v>
      </c>
      <c r="K281" s="1">
        <v>608.26</v>
      </c>
    </row>
    <row r="282" spans="1:11" x14ac:dyDescent="0.35">
      <c r="A282">
        <v>672913</v>
      </c>
      <c r="B282">
        <v>1845151</v>
      </c>
      <c r="C282" t="str">
        <f>"ST JOSEPH SCHOOL"</f>
        <v>ST JOSEPH SCHOOL</v>
      </c>
      <c r="D282" t="s">
        <v>11</v>
      </c>
      <c r="E282" t="s">
        <v>246</v>
      </c>
      <c r="F282" t="s">
        <v>77</v>
      </c>
      <c r="G282">
        <v>75081</v>
      </c>
      <c r="H282">
        <v>2009</v>
      </c>
      <c r="I282" s="1">
        <v>1468.8</v>
      </c>
      <c r="J282" s="1">
        <v>3672</v>
      </c>
      <c r="K282" s="1">
        <v>1215.21</v>
      </c>
    </row>
    <row r="283" spans="1:11" x14ac:dyDescent="0.35">
      <c r="A283">
        <v>672913</v>
      </c>
      <c r="B283">
        <v>2080384</v>
      </c>
      <c r="C283" t="str">
        <f>"ST JOSEPH SCHOOL"</f>
        <v>ST JOSEPH SCHOOL</v>
      </c>
      <c r="D283" t="s">
        <v>11</v>
      </c>
      <c r="E283" t="s">
        <v>246</v>
      </c>
      <c r="F283" t="s">
        <v>77</v>
      </c>
      <c r="G283">
        <v>75081</v>
      </c>
      <c r="H283">
        <v>2009</v>
      </c>
      <c r="I283" s="1">
        <v>734.4</v>
      </c>
      <c r="J283" s="1">
        <v>1836</v>
      </c>
      <c r="K283" s="1">
        <v>734.4</v>
      </c>
    </row>
    <row r="284" spans="1:11" x14ac:dyDescent="0.35">
      <c r="A284">
        <v>682933</v>
      </c>
      <c r="B284">
        <v>1866551</v>
      </c>
      <c r="C284" t="str">
        <f>"ST LAURENCE ELEMENTARY SCHOOL"</f>
        <v>ST LAURENCE ELEMENTARY SCHOOL</v>
      </c>
      <c r="D284" t="s">
        <v>11</v>
      </c>
      <c r="E284" t="s">
        <v>247</v>
      </c>
      <c r="F284" t="s">
        <v>98</v>
      </c>
      <c r="G284">
        <v>77479</v>
      </c>
      <c r="H284">
        <v>2009</v>
      </c>
      <c r="I284" s="1">
        <v>264</v>
      </c>
      <c r="J284" s="1">
        <v>660</v>
      </c>
    </row>
    <row r="285" spans="1:11" x14ac:dyDescent="0.35">
      <c r="A285">
        <v>682933</v>
      </c>
      <c r="B285">
        <v>1866535</v>
      </c>
      <c r="C285" t="str">
        <f>"ST LAURENCE ELEMENTARY SCHOOL"</f>
        <v>ST LAURENCE ELEMENTARY SCHOOL</v>
      </c>
      <c r="D285" t="s">
        <v>11</v>
      </c>
      <c r="E285" t="s">
        <v>247</v>
      </c>
      <c r="F285" t="s">
        <v>98</v>
      </c>
      <c r="G285">
        <v>77479</v>
      </c>
      <c r="H285">
        <v>2009</v>
      </c>
      <c r="I285" s="1">
        <v>3005.95</v>
      </c>
      <c r="J285" s="1">
        <v>7514.88</v>
      </c>
      <c r="K285" s="1">
        <v>3005.95</v>
      </c>
    </row>
    <row r="286" spans="1:11" x14ac:dyDescent="0.35">
      <c r="A286">
        <v>677038</v>
      </c>
      <c r="B286">
        <v>1848656</v>
      </c>
      <c r="C286" t="str">
        <f>"ST LEO SCHOOL"</f>
        <v>ST LEO SCHOOL</v>
      </c>
      <c r="D286" t="s">
        <v>11</v>
      </c>
      <c r="E286" t="s">
        <v>248</v>
      </c>
      <c r="F286" t="s">
        <v>38</v>
      </c>
      <c r="G286">
        <v>78214</v>
      </c>
      <c r="H286">
        <v>2009</v>
      </c>
      <c r="I286" s="1">
        <v>736.56</v>
      </c>
      <c r="J286" s="1">
        <v>818.4</v>
      </c>
      <c r="K286" s="1">
        <v>701.4</v>
      </c>
    </row>
    <row r="287" spans="1:11" x14ac:dyDescent="0.35">
      <c r="A287">
        <v>677038</v>
      </c>
      <c r="B287">
        <v>1848681</v>
      </c>
      <c r="C287" t="str">
        <f>"ST LEO SCHOOL"</f>
        <v>ST LEO SCHOOL</v>
      </c>
      <c r="D287" t="s">
        <v>11</v>
      </c>
      <c r="E287" t="s">
        <v>248</v>
      </c>
      <c r="F287" t="s">
        <v>38</v>
      </c>
      <c r="G287">
        <v>78214</v>
      </c>
      <c r="H287">
        <v>2009</v>
      </c>
      <c r="I287" s="1">
        <v>4055.08</v>
      </c>
      <c r="J287" s="1">
        <v>4505.6400000000003</v>
      </c>
      <c r="K287" s="1">
        <v>4055.08</v>
      </c>
    </row>
    <row r="288" spans="1:11" x14ac:dyDescent="0.35">
      <c r="A288">
        <v>677756</v>
      </c>
      <c r="B288">
        <v>1850535</v>
      </c>
      <c r="C288" t="str">
        <f>"ST LEO SCHOOL"</f>
        <v>ST LEO SCHOOL</v>
      </c>
      <c r="D288" t="s">
        <v>11</v>
      </c>
      <c r="E288" t="s">
        <v>248</v>
      </c>
      <c r="F288" t="s">
        <v>38</v>
      </c>
      <c r="G288">
        <v>78214</v>
      </c>
      <c r="H288">
        <v>2009</v>
      </c>
      <c r="I288" s="1">
        <v>1015.74</v>
      </c>
      <c r="J288" s="1">
        <v>1128.5999999999999</v>
      </c>
      <c r="K288" s="1">
        <v>1015.74</v>
      </c>
    </row>
    <row r="289" spans="1:11" x14ac:dyDescent="0.35">
      <c r="A289">
        <v>689334</v>
      </c>
      <c r="B289">
        <v>1889128</v>
      </c>
      <c r="C289" t="str">
        <f>"ST LUKE SCHOOL"</f>
        <v>ST LUKE SCHOOL</v>
      </c>
      <c r="D289" t="s">
        <v>11</v>
      </c>
      <c r="E289" t="s">
        <v>249</v>
      </c>
      <c r="F289" t="s">
        <v>116</v>
      </c>
      <c r="G289">
        <v>75060</v>
      </c>
      <c r="H289">
        <v>2009</v>
      </c>
      <c r="I289" s="1">
        <v>382.37</v>
      </c>
      <c r="J289" s="1">
        <v>477.96</v>
      </c>
      <c r="K289" s="1">
        <v>382.32</v>
      </c>
    </row>
    <row r="290" spans="1:11" x14ac:dyDescent="0.35">
      <c r="A290">
        <v>689334</v>
      </c>
      <c r="B290">
        <v>1889288</v>
      </c>
      <c r="C290" t="str">
        <f>"ST LUKE SCHOOL"</f>
        <v>ST LUKE SCHOOL</v>
      </c>
      <c r="D290" t="s">
        <v>11</v>
      </c>
      <c r="E290" t="s">
        <v>249</v>
      </c>
      <c r="F290" t="s">
        <v>116</v>
      </c>
      <c r="G290">
        <v>75060</v>
      </c>
      <c r="H290">
        <v>2009</v>
      </c>
      <c r="I290" s="1">
        <v>1004.64</v>
      </c>
      <c r="J290" s="1">
        <v>1255.8</v>
      </c>
      <c r="K290" s="1">
        <v>1004.64</v>
      </c>
    </row>
    <row r="291" spans="1:11" x14ac:dyDescent="0.35">
      <c r="A291">
        <v>695893</v>
      </c>
      <c r="B291">
        <v>1912045</v>
      </c>
      <c r="C291" t="str">
        <f>"ST MARGARET MARY SCHOOL"</f>
        <v>ST MARGARET MARY SCHOOL</v>
      </c>
      <c r="D291" t="s">
        <v>11</v>
      </c>
      <c r="E291" t="s">
        <v>250</v>
      </c>
      <c r="F291" t="s">
        <v>38</v>
      </c>
      <c r="G291">
        <v>78223</v>
      </c>
      <c r="H291">
        <v>2009</v>
      </c>
      <c r="I291" s="1">
        <v>999.54</v>
      </c>
      <c r="J291" s="1">
        <v>1999.08</v>
      </c>
      <c r="K291" s="1">
        <v>999.54</v>
      </c>
    </row>
    <row r="292" spans="1:11" x14ac:dyDescent="0.35">
      <c r="A292">
        <v>695893</v>
      </c>
      <c r="B292">
        <v>1912280</v>
      </c>
      <c r="C292" t="str">
        <f>"ST MARGARET MARY SCHOOL"</f>
        <v>ST MARGARET MARY SCHOOL</v>
      </c>
      <c r="D292" t="s">
        <v>11</v>
      </c>
      <c r="E292" t="s">
        <v>250</v>
      </c>
      <c r="F292" t="s">
        <v>38</v>
      </c>
      <c r="G292">
        <v>78223</v>
      </c>
      <c r="H292">
        <v>2009</v>
      </c>
      <c r="I292" s="1">
        <v>344.28</v>
      </c>
      <c r="J292" s="1">
        <v>688.56</v>
      </c>
      <c r="K292" s="1">
        <v>326.77999999999997</v>
      </c>
    </row>
    <row r="293" spans="1:11" x14ac:dyDescent="0.35">
      <c r="A293">
        <v>695893</v>
      </c>
      <c r="B293">
        <v>1912096</v>
      </c>
      <c r="C293" t="str">
        <f>"ST MARGARET MARY SCHOOL"</f>
        <v>ST MARGARET MARY SCHOOL</v>
      </c>
      <c r="D293" t="s">
        <v>11</v>
      </c>
      <c r="E293" t="s">
        <v>250</v>
      </c>
      <c r="F293" t="s">
        <v>38</v>
      </c>
      <c r="G293">
        <v>78223</v>
      </c>
      <c r="H293">
        <v>2009</v>
      </c>
      <c r="I293" s="1">
        <v>0</v>
      </c>
      <c r="J293" s="1">
        <v>0</v>
      </c>
    </row>
    <row r="294" spans="1:11" x14ac:dyDescent="0.35">
      <c r="A294">
        <v>681334</v>
      </c>
      <c r="B294">
        <v>1861740</v>
      </c>
      <c r="C294" t="str">
        <f>"ST MARY ELEMENTARY SCHOOL"</f>
        <v>ST MARY ELEMENTARY SCHOOL</v>
      </c>
      <c r="D294" t="s">
        <v>11</v>
      </c>
      <c r="E294" t="s">
        <v>251</v>
      </c>
      <c r="F294" t="s">
        <v>252</v>
      </c>
      <c r="G294">
        <v>78624</v>
      </c>
      <c r="H294">
        <v>2009</v>
      </c>
      <c r="I294" s="1">
        <v>294.72000000000003</v>
      </c>
      <c r="J294" s="1">
        <v>589.44000000000005</v>
      </c>
    </row>
    <row r="295" spans="1:11" x14ac:dyDescent="0.35">
      <c r="A295">
        <v>681334</v>
      </c>
      <c r="B295">
        <v>1861725</v>
      </c>
      <c r="C295" t="str">
        <f>"ST MARY ELEMENTARY SCHOOL"</f>
        <v>ST MARY ELEMENTARY SCHOOL</v>
      </c>
      <c r="D295" t="s">
        <v>11</v>
      </c>
      <c r="E295" t="s">
        <v>251</v>
      </c>
      <c r="F295" t="s">
        <v>252</v>
      </c>
      <c r="G295">
        <v>78624</v>
      </c>
      <c r="H295">
        <v>2009</v>
      </c>
      <c r="I295" s="1">
        <v>6646.14</v>
      </c>
      <c r="J295" s="1">
        <v>13292.28</v>
      </c>
      <c r="K295" s="1">
        <v>6646.14</v>
      </c>
    </row>
    <row r="296" spans="1:11" x14ac:dyDescent="0.35">
      <c r="A296">
        <v>683065</v>
      </c>
      <c r="B296">
        <v>1866910</v>
      </c>
      <c r="C296" t="str">
        <f>"ST MARY MAGDALENE SCHOOL"</f>
        <v>ST MARY MAGDALENE SCHOOL</v>
      </c>
      <c r="D296" t="s">
        <v>11</v>
      </c>
      <c r="E296" t="s">
        <v>253</v>
      </c>
      <c r="F296" t="s">
        <v>254</v>
      </c>
      <c r="G296">
        <v>77338</v>
      </c>
      <c r="H296">
        <v>2009</v>
      </c>
      <c r="I296" s="1">
        <v>1808.4</v>
      </c>
      <c r="J296" s="1">
        <v>4521</v>
      </c>
      <c r="K296" s="1">
        <v>1808.4</v>
      </c>
    </row>
    <row r="297" spans="1:11" x14ac:dyDescent="0.35">
      <c r="A297">
        <v>684188</v>
      </c>
      <c r="B297">
        <v>1870617</v>
      </c>
      <c r="C297" t="str">
        <f>"ST MARY SCHOOL"</f>
        <v>ST MARY SCHOOL</v>
      </c>
      <c r="D297" t="s">
        <v>11</v>
      </c>
      <c r="E297" t="s">
        <v>255</v>
      </c>
      <c r="F297" t="s">
        <v>256</v>
      </c>
      <c r="G297">
        <v>77573</v>
      </c>
      <c r="H297">
        <v>2009</v>
      </c>
      <c r="I297" s="1">
        <v>479.76</v>
      </c>
      <c r="J297" s="1">
        <v>1199.4000000000001</v>
      </c>
      <c r="K297" s="1">
        <v>479.76</v>
      </c>
    </row>
    <row r="298" spans="1:11" x14ac:dyDescent="0.35">
      <c r="A298">
        <v>688885</v>
      </c>
      <c r="B298">
        <v>1889675</v>
      </c>
      <c r="C298" t="str">
        <f>"ST MARY'S ACADEMY CHARTER SCHOOL"</f>
        <v>ST MARY'S ACADEMY CHARTER SCHOOL</v>
      </c>
      <c r="D298" t="s">
        <v>11</v>
      </c>
      <c r="E298" t="s">
        <v>257</v>
      </c>
      <c r="F298" t="s">
        <v>258</v>
      </c>
      <c r="G298">
        <v>78104</v>
      </c>
      <c r="H298">
        <v>2009</v>
      </c>
      <c r="I298" s="1">
        <v>912.92</v>
      </c>
      <c r="J298" s="1">
        <v>1014.36</v>
      </c>
    </row>
    <row r="299" spans="1:11" x14ac:dyDescent="0.35">
      <c r="A299">
        <v>659752</v>
      </c>
      <c r="B299">
        <v>1809361</v>
      </c>
      <c r="C299" t="str">
        <f>"ST MATTHEW CATHOLIC SCHOOL"</f>
        <v>ST MATTHEW CATHOLIC SCHOOL</v>
      </c>
      <c r="D299" t="s">
        <v>11</v>
      </c>
      <c r="E299" t="s">
        <v>259</v>
      </c>
      <c r="F299" t="s">
        <v>38</v>
      </c>
      <c r="G299">
        <v>78230</v>
      </c>
      <c r="H299">
        <v>2009</v>
      </c>
      <c r="I299" s="1">
        <v>2162.69</v>
      </c>
      <c r="J299" s="1">
        <v>5406.72</v>
      </c>
      <c r="K299" s="1">
        <v>2162.69</v>
      </c>
    </row>
    <row r="300" spans="1:11" x14ac:dyDescent="0.35">
      <c r="A300">
        <v>659752</v>
      </c>
      <c r="B300">
        <v>1809375</v>
      </c>
      <c r="C300" t="str">
        <f>"ST MATTHEW CATHOLIC SCHOOL"</f>
        <v>ST MATTHEW CATHOLIC SCHOOL</v>
      </c>
      <c r="D300" t="s">
        <v>11</v>
      </c>
      <c r="E300" t="s">
        <v>259</v>
      </c>
      <c r="F300" t="s">
        <v>38</v>
      </c>
      <c r="G300">
        <v>78230</v>
      </c>
      <c r="H300">
        <v>2009</v>
      </c>
      <c r="I300" s="1">
        <v>907.44</v>
      </c>
      <c r="J300" s="1">
        <v>2268.6</v>
      </c>
    </row>
    <row r="301" spans="1:11" x14ac:dyDescent="0.35">
      <c r="A301">
        <v>683244</v>
      </c>
      <c r="B301">
        <v>1867437</v>
      </c>
      <c r="C301" t="str">
        <f>"ST MICHAEL SCHOOL"</f>
        <v>ST MICHAEL SCHOOL</v>
      </c>
      <c r="D301" t="s">
        <v>11</v>
      </c>
      <c r="E301" t="s">
        <v>260</v>
      </c>
      <c r="F301" t="s">
        <v>15</v>
      </c>
      <c r="G301">
        <v>77056</v>
      </c>
      <c r="H301">
        <v>2009</v>
      </c>
      <c r="I301" s="1">
        <v>733.97</v>
      </c>
      <c r="J301" s="1">
        <v>1834.92</v>
      </c>
      <c r="K301" s="1">
        <v>733.97</v>
      </c>
    </row>
    <row r="302" spans="1:11" x14ac:dyDescent="0.35">
      <c r="A302">
        <v>664449</v>
      </c>
      <c r="B302">
        <v>1830965</v>
      </c>
      <c r="C302" t="str">
        <f>"ST MONICA SCHOOL"</f>
        <v>ST MONICA SCHOOL</v>
      </c>
      <c r="D302" t="s">
        <v>11</v>
      </c>
      <c r="E302" t="s">
        <v>261</v>
      </c>
      <c r="F302" t="s">
        <v>20</v>
      </c>
      <c r="G302">
        <v>75229</v>
      </c>
      <c r="H302">
        <v>2009</v>
      </c>
      <c r="I302" s="1">
        <v>3840</v>
      </c>
      <c r="J302" s="1">
        <v>9600</v>
      </c>
      <c r="K302" s="1">
        <v>3840</v>
      </c>
    </row>
    <row r="303" spans="1:11" x14ac:dyDescent="0.35">
      <c r="A303">
        <v>664449</v>
      </c>
      <c r="B303">
        <v>1830975</v>
      </c>
      <c r="C303" t="str">
        <f>"ST MONICA SCHOOL"</f>
        <v>ST MONICA SCHOOL</v>
      </c>
      <c r="D303" t="s">
        <v>11</v>
      </c>
      <c r="E303" t="s">
        <v>261</v>
      </c>
      <c r="F303" t="s">
        <v>20</v>
      </c>
      <c r="G303">
        <v>75229</v>
      </c>
      <c r="H303">
        <v>2009</v>
      </c>
      <c r="I303" s="1">
        <v>967.44</v>
      </c>
      <c r="J303" s="1">
        <v>2418.6</v>
      </c>
    </row>
    <row r="304" spans="1:11" x14ac:dyDescent="0.35">
      <c r="A304">
        <v>655304</v>
      </c>
      <c r="B304">
        <v>1811316</v>
      </c>
      <c r="C304" t="str">
        <f>"ST PATRICK CATHOLIC SCHOOL"</f>
        <v>ST PATRICK CATHOLIC SCHOOL</v>
      </c>
      <c r="D304" t="s">
        <v>11</v>
      </c>
      <c r="E304" t="s">
        <v>262</v>
      </c>
      <c r="F304" t="s">
        <v>263</v>
      </c>
      <c r="G304">
        <v>75901</v>
      </c>
      <c r="H304">
        <v>2009</v>
      </c>
      <c r="I304" s="1">
        <v>960</v>
      </c>
      <c r="J304" s="1">
        <v>1920</v>
      </c>
      <c r="K304" s="1">
        <v>960</v>
      </c>
    </row>
    <row r="305" spans="1:11" x14ac:dyDescent="0.35">
      <c r="A305">
        <v>666453</v>
      </c>
      <c r="B305">
        <v>1819717</v>
      </c>
      <c r="C305" t="str">
        <f>"ST PETER PRINCE OF APOSTLES"</f>
        <v>ST PETER PRINCE OF APOSTLES</v>
      </c>
      <c r="D305" t="s">
        <v>11</v>
      </c>
      <c r="E305" t="s">
        <v>264</v>
      </c>
      <c r="F305" t="s">
        <v>38</v>
      </c>
      <c r="G305">
        <v>78209</v>
      </c>
      <c r="H305">
        <v>2009</v>
      </c>
      <c r="I305" s="1">
        <v>981.46</v>
      </c>
      <c r="J305" s="1">
        <v>2453.64</v>
      </c>
      <c r="K305" s="1">
        <v>192</v>
      </c>
    </row>
    <row r="306" spans="1:11" x14ac:dyDescent="0.35">
      <c r="A306">
        <v>667599</v>
      </c>
      <c r="B306">
        <v>1822550</v>
      </c>
      <c r="C306" t="str">
        <f>"ST PETER'S MEMORIAL SCHOOL"</f>
        <v>ST PETER'S MEMORIAL SCHOOL</v>
      </c>
      <c r="D306" t="s">
        <v>11</v>
      </c>
      <c r="E306" t="s">
        <v>265</v>
      </c>
      <c r="F306" t="s">
        <v>266</v>
      </c>
      <c r="G306">
        <v>78040</v>
      </c>
      <c r="H306">
        <v>2009</v>
      </c>
      <c r="I306" s="1">
        <v>396</v>
      </c>
      <c r="J306" s="1">
        <v>495</v>
      </c>
      <c r="K306" s="1">
        <v>383.88</v>
      </c>
    </row>
    <row r="307" spans="1:11" x14ac:dyDescent="0.35">
      <c r="A307">
        <v>683389</v>
      </c>
      <c r="B307">
        <v>1868074</v>
      </c>
      <c r="C307" t="str">
        <f>"ST PIUS V SCHOOL"</f>
        <v>ST PIUS V SCHOOL</v>
      </c>
      <c r="D307" t="s">
        <v>11</v>
      </c>
      <c r="E307" t="s">
        <v>267</v>
      </c>
      <c r="F307" t="s">
        <v>268</v>
      </c>
      <c r="G307">
        <v>77506</v>
      </c>
      <c r="H307">
        <v>2009</v>
      </c>
      <c r="I307" s="1">
        <v>7131.13</v>
      </c>
      <c r="J307" s="1">
        <v>7923.48</v>
      </c>
      <c r="K307" s="1">
        <v>7131.13</v>
      </c>
    </row>
    <row r="308" spans="1:11" x14ac:dyDescent="0.35">
      <c r="A308">
        <v>683389</v>
      </c>
      <c r="B308">
        <v>1867980</v>
      </c>
      <c r="C308" t="str">
        <f>"ST PIUS V SCHOOL"</f>
        <v>ST PIUS V SCHOOL</v>
      </c>
      <c r="D308" t="s">
        <v>11</v>
      </c>
      <c r="E308" t="s">
        <v>267</v>
      </c>
      <c r="F308" t="s">
        <v>268</v>
      </c>
      <c r="G308">
        <v>77506</v>
      </c>
      <c r="H308">
        <v>2009</v>
      </c>
      <c r="I308" s="1">
        <v>503.71</v>
      </c>
      <c r="J308" s="1">
        <v>559.67999999999995</v>
      </c>
      <c r="K308" s="1">
        <v>503.71</v>
      </c>
    </row>
    <row r="309" spans="1:11" x14ac:dyDescent="0.35">
      <c r="A309">
        <v>683512</v>
      </c>
      <c r="B309">
        <v>1869203</v>
      </c>
      <c r="C309" t="str">
        <f>"ST PIUS X HIGH SCHOOL"</f>
        <v>ST PIUS X HIGH SCHOOL</v>
      </c>
      <c r="D309" t="s">
        <v>11</v>
      </c>
      <c r="E309" t="s">
        <v>269</v>
      </c>
      <c r="F309" t="s">
        <v>15</v>
      </c>
      <c r="G309">
        <v>77091</v>
      </c>
      <c r="H309">
        <v>2009</v>
      </c>
      <c r="I309" s="1">
        <v>6902.4</v>
      </c>
      <c r="J309" s="1">
        <v>13804.8</v>
      </c>
      <c r="K309" s="1">
        <v>6902.4</v>
      </c>
    </row>
    <row r="310" spans="1:11" x14ac:dyDescent="0.35">
      <c r="A310">
        <v>689549</v>
      </c>
      <c r="B310">
        <v>1888614</v>
      </c>
      <c r="C310" t="str">
        <f>"ST RITA SCHOOL"</f>
        <v>ST RITA SCHOOL</v>
      </c>
      <c r="D310" t="s">
        <v>11</v>
      </c>
      <c r="E310" t="s">
        <v>270</v>
      </c>
      <c r="F310" t="s">
        <v>20</v>
      </c>
      <c r="G310">
        <v>75244</v>
      </c>
      <c r="H310">
        <v>2009</v>
      </c>
      <c r="I310" s="1">
        <v>4800</v>
      </c>
      <c r="J310" s="1">
        <v>12000</v>
      </c>
      <c r="K310" s="1">
        <v>2784</v>
      </c>
    </row>
    <row r="311" spans="1:11" x14ac:dyDescent="0.35">
      <c r="A311">
        <v>689549</v>
      </c>
      <c r="B311">
        <v>1888571</v>
      </c>
      <c r="C311" t="str">
        <f>"ST RITA SCHOOL"</f>
        <v>ST RITA SCHOOL</v>
      </c>
      <c r="D311" t="s">
        <v>11</v>
      </c>
      <c r="E311" t="s">
        <v>270</v>
      </c>
      <c r="F311" t="s">
        <v>20</v>
      </c>
      <c r="G311">
        <v>75244</v>
      </c>
      <c r="H311">
        <v>2009</v>
      </c>
      <c r="I311" s="1">
        <v>960</v>
      </c>
      <c r="J311" s="1">
        <v>2400</v>
      </c>
      <c r="K311" s="1">
        <v>960</v>
      </c>
    </row>
    <row r="312" spans="1:11" x14ac:dyDescent="0.35">
      <c r="A312">
        <v>689549</v>
      </c>
      <c r="B312">
        <v>1888779</v>
      </c>
      <c r="C312" t="str">
        <f>"ST RITA SCHOOL"</f>
        <v>ST RITA SCHOOL</v>
      </c>
      <c r="D312" t="s">
        <v>11</v>
      </c>
      <c r="E312" t="s">
        <v>270</v>
      </c>
      <c r="F312" t="s">
        <v>20</v>
      </c>
      <c r="G312">
        <v>75244</v>
      </c>
      <c r="H312">
        <v>2009</v>
      </c>
      <c r="I312" s="1">
        <v>976</v>
      </c>
      <c r="J312" s="1">
        <v>2440</v>
      </c>
      <c r="K312" s="1">
        <v>976</v>
      </c>
    </row>
    <row r="313" spans="1:11" x14ac:dyDescent="0.35">
      <c r="A313">
        <v>683931</v>
      </c>
      <c r="B313">
        <v>1869652</v>
      </c>
      <c r="C313" t="str">
        <f>"ST ROSE OF LIMA SCHOOL"</f>
        <v>ST ROSE OF LIMA SCHOOL</v>
      </c>
      <c r="D313" t="s">
        <v>11</v>
      </c>
      <c r="E313" t="s">
        <v>271</v>
      </c>
      <c r="F313" t="s">
        <v>15</v>
      </c>
      <c r="G313">
        <v>77018</v>
      </c>
      <c r="H313">
        <v>2009</v>
      </c>
      <c r="I313" s="1">
        <v>3413.76</v>
      </c>
      <c r="J313" s="1">
        <v>6827.52</v>
      </c>
      <c r="K313" s="1">
        <v>3413.76</v>
      </c>
    </row>
    <row r="314" spans="1:11" x14ac:dyDescent="0.35">
      <c r="A314">
        <v>685629</v>
      </c>
      <c r="B314">
        <v>1875412</v>
      </c>
      <c r="C314" t="str">
        <f>"ST THOMAS AQUINAS SCHOOL"</f>
        <v>ST THOMAS AQUINAS SCHOOL</v>
      </c>
      <c r="D314" t="s">
        <v>11</v>
      </c>
      <c r="E314" t="s">
        <v>272</v>
      </c>
      <c r="F314" t="s">
        <v>20</v>
      </c>
      <c r="G314">
        <v>75214</v>
      </c>
      <c r="H314">
        <v>2009</v>
      </c>
      <c r="I314" s="1">
        <v>658.99</v>
      </c>
      <c r="J314" s="1">
        <v>1647.48</v>
      </c>
      <c r="K314" s="1">
        <v>658.99</v>
      </c>
    </row>
    <row r="315" spans="1:11" x14ac:dyDescent="0.35">
      <c r="A315">
        <v>685629</v>
      </c>
      <c r="B315">
        <v>1875431</v>
      </c>
      <c r="C315" t="str">
        <f>"ST THOMAS AQUINAS SCHOOL"</f>
        <v>ST THOMAS AQUINAS SCHOOL</v>
      </c>
      <c r="D315" t="s">
        <v>11</v>
      </c>
      <c r="E315" t="s">
        <v>272</v>
      </c>
      <c r="F315" t="s">
        <v>20</v>
      </c>
      <c r="G315">
        <v>75214</v>
      </c>
      <c r="H315">
        <v>2009</v>
      </c>
      <c r="I315" s="1">
        <v>480</v>
      </c>
      <c r="J315" s="1">
        <v>1200</v>
      </c>
    </row>
    <row r="316" spans="1:11" x14ac:dyDescent="0.35">
      <c r="A316">
        <v>684145</v>
      </c>
      <c r="B316">
        <v>1870444</v>
      </c>
      <c r="C316" t="str">
        <f>"ST VINCENT DE PAUL SCHOOL"</f>
        <v>ST VINCENT DE PAUL SCHOOL</v>
      </c>
      <c r="D316" t="s">
        <v>11</v>
      </c>
      <c r="E316" t="s">
        <v>273</v>
      </c>
      <c r="F316" t="s">
        <v>15</v>
      </c>
      <c r="G316">
        <v>77025</v>
      </c>
      <c r="H316">
        <v>2009</v>
      </c>
      <c r="I316" s="1">
        <v>1488</v>
      </c>
      <c r="J316" s="1">
        <v>3720</v>
      </c>
      <c r="K316" s="1">
        <v>1488</v>
      </c>
    </row>
    <row r="317" spans="1:11" x14ac:dyDescent="0.35">
      <c r="A317">
        <v>683158</v>
      </c>
      <c r="B317">
        <v>1867162</v>
      </c>
      <c r="C317" t="str">
        <f>"ST. MARY OF THE PURIFICATION MONTESSORI SCHOOL"</f>
        <v>ST. MARY OF THE PURIFICATION MONTESSORI SCHOOL</v>
      </c>
      <c r="D317" t="s">
        <v>11</v>
      </c>
      <c r="E317" t="s">
        <v>274</v>
      </c>
      <c r="F317" t="s">
        <v>15</v>
      </c>
      <c r="G317">
        <v>77004</v>
      </c>
      <c r="H317">
        <v>2009</v>
      </c>
      <c r="I317" s="1">
        <v>206.88</v>
      </c>
      <c r="J317" s="1">
        <v>517.20000000000005</v>
      </c>
      <c r="K317" s="1">
        <v>206.88</v>
      </c>
    </row>
    <row r="318" spans="1:11" x14ac:dyDescent="0.35">
      <c r="A318">
        <v>667259</v>
      </c>
      <c r="B318">
        <v>1821676</v>
      </c>
      <c r="C318" t="str">
        <f>"SUMMIT INTERNATIONAL PREPARATORY SCHOOL"</f>
        <v>SUMMIT INTERNATIONAL PREPARATORY SCHOOL</v>
      </c>
      <c r="D318" t="s">
        <v>11</v>
      </c>
      <c r="E318" t="s">
        <v>275</v>
      </c>
      <c r="F318" t="s">
        <v>276</v>
      </c>
      <c r="G318">
        <v>76011</v>
      </c>
      <c r="H318">
        <v>2009</v>
      </c>
      <c r="I318" s="1">
        <v>4128</v>
      </c>
      <c r="J318" s="1">
        <v>5160</v>
      </c>
      <c r="K318" s="1">
        <v>4128</v>
      </c>
    </row>
    <row r="319" spans="1:11" x14ac:dyDescent="0.35">
      <c r="A319">
        <v>667259</v>
      </c>
      <c r="B319">
        <v>1821640</v>
      </c>
      <c r="C319" t="str">
        <f>"SUMMIT INTERNATIONAL PREPARATORY SCHOOL"</f>
        <v>SUMMIT INTERNATIONAL PREPARATORY SCHOOL</v>
      </c>
      <c r="D319" t="s">
        <v>11</v>
      </c>
      <c r="E319" t="s">
        <v>275</v>
      </c>
      <c r="F319" t="s">
        <v>276</v>
      </c>
      <c r="G319">
        <v>76011</v>
      </c>
      <c r="H319">
        <v>2009</v>
      </c>
      <c r="I319" s="1">
        <v>4884.24</v>
      </c>
      <c r="J319" s="1">
        <v>6105.3</v>
      </c>
      <c r="K319" s="1">
        <v>4884.24</v>
      </c>
    </row>
    <row r="320" spans="1:11" x14ac:dyDescent="0.35">
      <c r="A320">
        <v>667259</v>
      </c>
      <c r="B320">
        <v>1821699</v>
      </c>
      <c r="C320" t="str">
        <f>"SUMMIT INTERNATIONAL PREPARATORY SCHOOL"</f>
        <v>SUMMIT INTERNATIONAL PREPARATORY SCHOOL</v>
      </c>
      <c r="D320" t="s">
        <v>11</v>
      </c>
      <c r="E320" t="s">
        <v>275</v>
      </c>
      <c r="F320" t="s">
        <v>276</v>
      </c>
      <c r="G320">
        <v>76011</v>
      </c>
      <c r="H320">
        <v>2009</v>
      </c>
      <c r="I320" s="1">
        <v>21684</v>
      </c>
      <c r="J320" s="1">
        <v>27105</v>
      </c>
      <c r="K320" s="1">
        <v>21684</v>
      </c>
    </row>
    <row r="321" spans="1:11" x14ac:dyDescent="0.35">
      <c r="A321">
        <v>694140</v>
      </c>
      <c r="B321">
        <v>1906415</v>
      </c>
      <c r="C321" t="str">
        <f>"TERRELL COUNTY SCHOOL DISTRICT"</f>
        <v>TERRELL COUNTY SCHOOL DISTRICT</v>
      </c>
      <c r="D321" t="s">
        <v>11</v>
      </c>
      <c r="E321" t="s">
        <v>277</v>
      </c>
      <c r="F321" t="s">
        <v>278</v>
      </c>
      <c r="G321">
        <v>79848</v>
      </c>
      <c r="H321">
        <v>2009</v>
      </c>
      <c r="I321" s="1">
        <v>3328.8</v>
      </c>
      <c r="J321" s="1">
        <v>4560</v>
      </c>
      <c r="K321" s="1">
        <v>3328.8</v>
      </c>
    </row>
    <row r="322" spans="1:11" x14ac:dyDescent="0.35">
      <c r="A322">
        <v>685236</v>
      </c>
      <c r="B322">
        <v>1874841</v>
      </c>
      <c r="C322" t="str">
        <f>"TEXAS  PREPARATORY SCHOOL"</f>
        <v>TEXAS  PREPARATORY SCHOOL</v>
      </c>
      <c r="D322" t="s">
        <v>11</v>
      </c>
      <c r="E322" t="s">
        <v>279</v>
      </c>
      <c r="F322" t="s">
        <v>280</v>
      </c>
      <c r="G322">
        <v>78666</v>
      </c>
      <c r="H322">
        <v>2009</v>
      </c>
      <c r="I322" s="1">
        <v>2304.29</v>
      </c>
      <c r="J322" s="1">
        <v>2560.3200000000002</v>
      </c>
    </row>
    <row r="323" spans="1:11" x14ac:dyDescent="0.35">
      <c r="A323">
        <v>678944</v>
      </c>
      <c r="B323">
        <v>1854072</v>
      </c>
      <c r="C323" t="str">
        <f>"TEXAS MILITARY INSTITUTE"</f>
        <v>TEXAS MILITARY INSTITUTE</v>
      </c>
      <c r="D323" t="s">
        <v>11</v>
      </c>
      <c r="E323" t="s">
        <v>281</v>
      </c>
      <c r="F323" t="s">
        <v>38</v>
      </c>
      <c r="G323">
        <v>78257</v>
      </c>
      <c r="H323">
        <v>2009</v>
      </c>
      <c r="I323" s="1">
        <v>4446.72</v>
      </c>
      <c r="J323" s="1">
        <v>11116.8</v>
      </c>
      <c r="K323" s="1">
        <v>4446.72</v>
      </c>
    </row>
    <row r="324" spans="1:11" x14ac:dyDescent="0.35">
      <c r="A324">
        <v>659711</v>
      </c>
      <c r="B324">
        <v>1803366</v>
      </c>
      <c r="C324" t="str">
        <f>"TEXAS SERENITY ACADEMY"</f>
        <v>TEXAS SERENITY ACADEMY</v>
      </c>
      <c r="D324" t="s">
        <v>11</v>
      </c>
      <c r="E324" t="s">
        <v>282</v>
      </c>
      <c r="F324" t="s">
        <v>15</v>
      </c>
      <c r="G324">
        <v>77016</v>
      </c>
      <c r="H324">
        <v>2009</v>
      </c>
      <c r="I324" s="1">
        <v>0</v>
      </c>
      <c r="J324" s="1">
        <v>0</v>
      </c>
    </row>
    <row r="325" spans="1:11" x14ac:dyDescent="0.35">
      <c r="A325">
        <v>658072</v>
      </c>
      <c r="B325">
        <v>1803342</v>
      </c>
      <c r="C325" t="str">
        <f>"TEXAS SERENITY ACADEMY"</f>
        <v>TEXAS SERENITY ACADEMY</v>
      </c>
      <c r="D325" t="s">
        <v>11</v>
      </c>
      <c r="E325" t="s">
        <v>283</v>
      </c>
      <c r="F325" t="s">
        <v>15</v>
      </c>
      <c r="G325">
        <v>77037</v>
      </c>
      <c r="H325">
        <v>2009</v>
      </c>
      <c r="I325" s="1">
        <v>912.92</v>
      </c>
      <c r="J325" s="1">
        <v>1014.36</v>
      </c>
      <c r="K325" s="1">
        <v>403.01</v>
      </c>
    </row>
    <row r="326" spans="1:11" x14ac:dyDescent="0.35">
      <c r="A326">
        <v>658072</v>
      </c>
      <c r="B326">
        <v>1803341</v>
      </c>
      <c r="C326" t="str">
        <f>"TEXAS SERENITY ACADEMY"</f>
        <v>TEXAS SERENITY ACADEMY</v>
      </c>
      <c r="D326" t="s">
        <v>11</v>
      </c>
      <c r="E326" t="s">
        <v>283</v>
      </c>
      <c r="F326" t="s">
        <v>15</v>
      </c>
      <c r="G326">
        <v>77037</v>
      </c>
      <c r="H326">
        <v>2009</v>
      </c>
      <c r="I326" s="1">
        <v>906.44</v>
      </c>
      <c r="J326" s="1">
        <v>1007.16</v>
      </c>
    </row>
    <row r="327" spans="1:11" x14ac:dyDescent="0.35">
      <c r="A327">
        <v>659751</v>
      </c>
      <c r="B327">
        <v>1803396</v>
      </c>
      <c r="C327" t="str">
        <f>"TEXAS SERENITY ACADEMY"</f>
        <v>TEXAS SERENITY ACADEMY</v>
      </c>
      <c r="D327" t="s">
        <v>11</v>
      </c>
      <c r="E327" t="s">
        <v>284</v>
      </c>
      <c r="F327" t="s">
        <v>142</v>
      </c>
      <c r="G327">
        <v>77489</v>
      </c>
      <c r="H327">
        <v>2009</v>
      </c>
      <c r="I327" s="1">
        <v>0</v>
      </c>
      <c r="J327" s="1">
        <v>0</v>
      </c>
    </row>
    <row r="328" spans="1:11" x14ac:dyDescent="0.35">
      <c r="A328">
        <v>654837</v>
      </c>
      <c r="B328">
        <v>1794033</v>
      </c>
      <c r="C328" t="str">
        <f>"THE LEADER'S ACADEMY"</f>
        <v>THE LEADER'S ACADEMY</v>
      </c>
      <c r="D328" t="s">
        <v>11</v>
      </c>
      <c r="E328" t="s">
        <v>285</v>
      </c>
      <c r="F328" t="s">
        <v>15</v>
      </c>
      <c r="G328">
        <v>77085</v>
      </c>
      <c r="H328">
        <v>2009</v>
      </c>
      <c r="I328" s="1">
        <v>1256.18</v>
      </c>
      <c r="J328" s="1">
        <v>2093.64</v>
      </c>
    </row>
    <row r="329" spans="1:11" x14ac:dyDescent="0.35">
      <c r="A329">
        <v>691959</v>
      </c>
      <c r="B329">
        <v>1897855</v>
      </c>
      <c r="C329" t="str">
        <f>"THE RHODES SCHOOL"</f>
        <v>THE RHODES SCHOOL</v>
      </c>
      <c r="D329" t="s">
        <v>11</v>
      </c>
      <c r="E329" t="s">
        <v>286</v>
      </c>
      <c r="F329" t="s">
        <v>15</v>
      </c>
      <c r="G329">
        <v>77044</v>
      </c>
      <c r="H329">
        <v>2009</v>
      </c>
      <c r="I329" s="1">
        <v>962.28</v>
      </c>
      <c r="J329" s="1">
        <v>1069.2</v>
      </c>
    </row>
    <row r="330" spans="1:11" x14ac:dyDescent="0.35">
      <c r="A330">
        <v>653593</v>
      </c>
      <c r="B330">
        <v>1793952</v>
      </c>
      <c r="C330" t="str">
        <f>"THE RHODES SCHOOL"</f>
        <v>THE RHODES SCHOOL</v>
      </c>
      <c r="D330" t="s">
        <v>11</v>
      </c>
      <c r="E330" t="s">
        <v>286</v>
      </c>
      <c r="F330" t="s">
        <v>15</v>
      </c>
      <c r="G330">
        <v>77044</v>
      </c>
      <c r="H330">
        <v>2009</v>
      </c>
      <c r="I330" s="1">
        <v>1965.6</v>
      </c>
      <c r="J330" s="1">
        <v>2184</v>
      </c>
    </row>
    <row r="331" spans="1:11" x14ac:dyDescent="0.35">
      <c r="A331">
        <v>685852</v>
      </c>
      <c r="B331">
        <v>1879127</v>
      </c>
      <c r="C331" t="str">
        <f>"VANGUARD ACADEMY"</f>
        <v>VANGUARD ACADEMY</v>
      </c>
      <c r="D331" t="s">
        <v>11</v>
      </c>
      <c r="E331" t="s">
        <v>287</v>
      </c>
      <c r="F331" t="s">
        <v>288</v>
      </c>
      <c r="G331">
        <v>78577</v>
      </c>
      <c r="H331">
        <v>2009</v>
      </c>
      <c r="I331" s="1">
        <v>0</v>
      </c>
      <c r="J331" s="1">
        <v>0</v>
      </c>
    </row>
    <row r="332" spans="1:11" x14ac:dyDescent="0.35">
      <c r="A332">
        <v>663290</v>
      </c>
      <c r="B332">
        <v>1811137</v>
      </c>
      <c r="C332" t="str">
        <f>"VYSEHRAD INDEP SCHOOL DISTRICT"</f>
        <v>VYSEHRAD INDEP SCHOOL DISTRICT</v>
      </c>
      <c r="D332" t="s">
        <v>11</v>
      </c>
      <c r="E332" t="s">
        <v>289</v>
      </c>
      <c r="F332" t="s">
        <v>79</v>
      </c>
      <c r="G332">
        <v>77964</v>
      </c>
      <c r="H332">
        <v>2009</v>
      </c>
      <c r="I332" s="1">
        <v>5760</v>
      </c>
      <c r="J332" s="1">
        <v>9600</v>
      </c>
      <c r="K332" s="1">
        <v>5400</v>
      </c>
    </row>
    <row r="333" spans="1:11" x14ac:dyDescent="0.35">
      <c r="A333">
        <v>663290</v>
      </c>
      <c r="B333">
        <v>1811165</v>
      </c>
      <c r="C333" t="str">
        <f>"VYSEHRAD INDEP SCHOOL DISTRICT"</f>
        <v>VYSEHRAD INDEP SCHOOL DISTRICT</v>
      </c>
      <c r="D333" t="s">
        <v>11</v>
      </c>
      <c r="E333" t="s">
        <v>289</v>
      </c>
      <c r="F333" t="s">
        <v>79</v>
      </c>
      <c r="G333">
        <v>77964</v>
      </c>
      <c r="H333">
        <v>2009</v>
      </c>
      <c r="I333" s="1">
        <v>300.02</v>
      </c>
      <c r="J333" s="1">
        <v>500.04</v>
      </c>
    </row>
    <row r="334" spans="1:11" x14ac:dyDescent="0.35">
      <c r="A334">
        <v>663290</v>
      </c>
      <c r="B334">
        <v>1811161</v>
      </c>
      <c r="C334" t="str">
        <f>"VYSEHRAD INDEP SCHOOL DISTRICT"</f>
        <v>VYSEHRAD INDEP SCHOOL DISTRICT</v>
      </c>
      <c r="D334" t="s">
        <v>11</v>
      </c>
      <c r="E334" t="s">
        <v>289</v>
      </c>
      <c r="F334" t="s">
        <v>79</v>
      </c>
      <c r="G334">
        <v>77964</v>
      </c>
      <c r="H334">
        <v>2009</v>
      </c>
      <c r="I334" s="1">
        <v>180</v>
      </c>
      <c r="J334" s="1">
        <v>300</v>
      </c>
    </row>
    <row r="335" spans="1:11" x14ac:dyDescent="0.35">
      <c r="A335">
        <v>692332</v>
      </c>
      <c r="B335">
        <v>1898894</v>
      </c>
      <c r="C335" t="str">
        <f>"WALNUT SPRINGS INDEP SCH DIST"</f>
        <v>WALNUT SPRINGS INDEP SCH DIST</v>
      </c>
      <c r="D335" t="s">
        <v>11</v>
      </c>
      <c r="E335" t="s">
        <v>290</v>
      </c>
      <c r="F335" t="s">
        <v>291</v>
      </c>
      <c r="G335">
        <v>76690</v>
      </c>
      <c r="H335">
        <v>2009</v>
      </c>
      <c r="I335" s="1">
        <v>12582</v>
      </c>
      <c r="J335" s="1">
        <v>13980</v>
      </c>
      <c r="K335" s="1">
        <v>12582</v>
      </c>
    </row>
    <row r="336" spans="1:11" x14ac:dyDescent="0.35">
      <c r="A336">
        <v>685440</v>
      </c>
      <c r="B336">
        <v>1877099</v>
      </c>
      <c r="C336" t="str">
        <f>"WILDORADO INDEP SCHOOL DIST"</f>
        <v>WILDORADO INDEP SCHOOL DIST</v>
      </c>
      <c r="D336" t="s">
        <v>11</v>
      </c>
      <c r="E336" t="s">
        <v>292</v>
      </c>
      <c r="F336" t="s">
        <v>293</v>
      </c>
      <c r="G336">
        <v>79098</v>
      </c>
      <c r="H336">
        <v>2009</v>
      </c>
      <c r="I336" s="1">
        <v>2400</v>
      </c>
      <c r="J336" s="1">
        <v>3000</v>
      </c>
      <c r="K336" s="1">
        <v>2400</v>
      </c>
    </row>
    <row r="337" spans="1:11" x14ac:dyDescent="0.35">
      <c r="A337">
        <v>685440</v>
      </c>
      <c r="B337">
        <v>1877250</v>
      </c>
      <c r="C337" t="str">
        <f>"WILDORADO INDEP SCHOOL DIST"</f>
        <v>WILDORADO INDEP SCHOOL DIST</v>
      </c>
      <c r="D337" t="s">
        <v>11</v>
      </c>
      <c r="E337" t="s">
        <v>292</v>
      </c>
      <c r="F337" t="s">
        <v>293</v>
      </c>
      <c r="G337">
        <v>79098</v>
      </c>
      <c r="H337">
        <v>2009</v>
      </c>
      <c r="I337" s="1">
        <v>458.64</v>
      </c>
      <c r="J337" s="1">
        <v>573.29999999999995</v>
      </c>
      <c r="K337" s="1">
        <v>436.8</v>
      </c>
    </row>
    <row r="338" spans="1:11" x14ac:dyDescent="0.35">
      <c r="A338">
        <v>666849</v>
      </c>
      <c r="B338">
        <v>1820607</v>
      </c>
      <c r="C338" t="str">
        <f>"WILLIAMS PREPARATORY SCHOOL"</f>
        <v>WILLIAMS PREPARATORY SCHOOL</v>
      </c>
      <c r="D338" t="s">
        <v>11</v>
      </c>
      <c r="E338" t="s">
        <v>294</v>
      </c>
      <c r="F338" t="s">
        <v>20</v>
      </c>
      <c r="G338">
        <v>75235</v>
      </c>
      <c r="H338">
        <v>2009</v>
      </c>
      <c r="I338" s="1">
        <v>4749.57</v>
      </c>
      <c r="J338" s="1">
        <v>5277.3</v>
      </c>
      <c r="K338" s="1">
        <v>4749.3</v>
      </c>
    </row>
    <row r="339" spans="1:11" x14ac:dyDescent="0.35">
      <c r="A339">
        <v>666849</v>
      </c>
      <c r="B339">
        <v>1820637</v>
      </c>
      <c r="C339" t="str">
        <f>"WILLIAMS PREPARATORY SCHOOL"</f>
        <v>WILLIAMS PREPARATORY SCHOOL</v>
      </c>
      <c r="D339" t="s">
        <v>11</v>
      </c>
      <c r="E339" t="s">
        <v>294</v>
      </c>
      <c r="F339" t="s">
        <v>20</v>
      </c>
      <c r="G339">
        <v>75235</v>
      </c>
      <c r="H339">
        <v>2009</v>
      </c>
      <c r="I339" s="1">
        <v>38620.800000000003</v>
      </c>
      <c r="J339" s="1">
        <v>42912</v>
      </c>
      <c r="K339" s="1">
        <v>38620.800000000003</v>
      </c>
    </row>
    <row r="340" spans="1:11" x14ac:dyDescent="0.35">
      <c r="A340">
        <v>666849</v>
      </c>
      <c r="B340">
        <v>1820658</v>
      </c>
      <c r="C340" t="str">
        <f>"WILLIAMS PREPARATORY SCHOOL"</f>
        <v>WILLIAMS PREPARATORY SCHOOL</v>
      </c>
      <c r="D340" t="s">
        <v>11</v>
      </c>
      <c r="E340" t="s">
        <v>294</v>
      </c>
      <c r="F340" t="s">
        <v>20</v>
      </c>
      <c r="G340">
        <v>75235</v>
      </c>
      <c r="H340">
        <v>2009</v>
      </c>
      <c r="I340" s="1">
        <v>2602.8000000000002</v>
      </c>
      <c r="J340" s="1">
        <v>2892</v>
      </c>
      <c r="K340" s="1">
        <v>2602.8000000000002</v>
      </c>
    </row>
    <row r="341" spans="1:11" x14ac:dyDescent="0.35">
      <c r="A341">
        <v>691856</v>
      </c>
      <c r="B341">
        <v>1897525</v>
      </c>
      <c r="C341" t="str">
        <f>"WINGS FOR LIFE TEXAS"</f>
        <v>WINGS FOR LIFE TEXAS</v>
      </c>
      <c r="D341" t="s">
        <v>11</v>
      </c>
      <c r="E341" t="s">
        <v>295</v>
      </c>
      <c r="F341" t="s">
        <v>296</v>
      </c>
      <c r="G341">
        <v>78124</v>
      </c>
      <c r="H341">
        <v>2009</v>
      </c>
      <c r="I341" s="1">
        <v>1146.2</v>
      </c>
      <c r="J341" s="1">
        <v>1273.56</v>
      </c>
      <c r="K341" s="1">
        <v>1146.2</v>
      </c>
    </row>
    <row r="342" spans="1:11" x14ac:dyDescent="0.35">
      <c r="A342">
        <v>660930</v>
      </c>
      <c r="B342">
        <v>1805835</v>
      </c>
      <c r="C342" t="str">
        <f>"ZOE LEARNING ACADEMY"</f>
        <v>ZOE LEARNING ACADEMY</v>
      </c>
      <c r="D342" t="s">
        <v>11</v>
      </c>
      <c r="E342" t="s">
        <v>297</v>
      </c>
      <c r="F342" t="s">
        <v>15</v>
      </c>
      <c r="G342">
        <v>77021</v>
      </c>
      <c r="H342">
        <v>2009</v>
      </c>
      <c r="I342" s="1">
        <v>1956.2</v>
      </c>
      <c r="J342" s="1">
        <v>2173.56</v>
      </c>
      <c r="K342" s="1">
        <v>1798.48</v>
      </c>
    </row>
    <row r="343" spans="1:11" x14ac:dyDescent="0.35">
      <c r="A343">
        <v>660930</v>
      </c>
      <c r="B343">
        <v>1805826</v>
      </c>
      <c r="C343" t="str">
        <f>"ZOE LEARNING ACADEMY"</f>
        <v>ZOE LEARNING ACADEMY</v>
      </c>
      <c r="D343" t="s">
        <v>11</v>
      </c>
      <c r="E343" t="s">
        <v>297</v>
      </c>
      <c r="F343" t="s">
        <v>15</v>
      </c>
      <c r="G343">
        <v>77021</v>
      </c>
      <c r="H343">
        <v>2009</v>
      </c>
      <c r="I343" s="1">
        <v>10312.379999999999</v>
      </c>
      <c r="J343" s="1">
        <v>11458.2</v>
      </c>
      <c r="K343" s="1">
        <v>10312.379999999999</v>
      </c>
    </row>
    <row r="344" spans="1:11" x14ac:dyDescent="0.35">
      <c r="A344">
        <v>661158</v>
      </c>
      <c r="B344">
        <v>1806351</v>
      </c>
      <c r="C344" t="str">
        <f>"ZOE LEARNING ACADEMY DUNCANVILLE"</f>
        <v>ZOE LEARNING ACADEMY DUNCANVILLE</v>
      </c>
      <c r="D344" t="s">
        <v>11</v>
      </c>
      <c r="E344" t="s">
        <v>298</v>
      </c>
      <c r="F344" t="s">
        <v>299</v>
      </c>
      <c r="G344">
        <v>75116</v>
      </c>
      <c r="H344">
        <v>2009</v>
      </c>
      <c r="I344" s="1">
        <v>632.34</v>
      </c>
      <c r="J344" s="1">
        <v>702.6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2009_School_Funding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Evil Piggy</cp:lastModifiedBy>
  <dcterms:created xsi:type="dcterms:W3CDTF">2021-08-03T21:52:27Z</dcterms:created>
  <dcterms:modified xsi:type="dcterms:W3CDTF">2021-08-03T21:52:29Z</dcterms:modified>
</cp:coreProperties>
</file>