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artmouth-my.sharepoint.com/personal/f004gnp_dartmouth_edu/Documents/Desktop/CS/Stata/Texas/E-Rate_Funding/School/"/>
    </mc:Choice>
  </mc:AlternateContent>
  <xr:revisionPtr revIDLastSave="0" documentId="8_{561C7309-2C1E-4DE2-8A26-74495733DADB}" xr6:coauthVersionLast="47" xr6:coauthVersionMax="47" xr10:uidLastSave="{00000000-0000-0000-0000-000000000000}"/>
  <bookViews>
    <workbookView xWindow="-110" yWindow="-110" windowWidth="19420" windowHeight="10420"/>
  </bookViews>
  <sheets>
    <sheet name="2015_School_Funding" sheetId="1" r:id="rId1"/>
  </sheets>
  <calcPr calcId="0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</calcChain>
</file>

<file path=xl/sharedStrings.xml><?xml version="1.0" encoding="utf-8"?>
<sst xmlns="http://schemas.openxmlformats.org/spreadsheetml/2006/main" count="884" uniqueCount="335">
  <si>
    <t>471 Application Number</t>
  </si>
  <si>
    <t>FRN</t>
  </si>
  <si>
    <t>Applicant Name</t>
  </si>
  <si>
    <t>Application Type</t>
  </si>
  <si>
    <t>Applicant Street Address1</t>
  </si>
  <si>
    <t>Applicant City</t>
  </si>
  <si>
    <t>Applicant Zip Code</t>
  </si>
  <si>
    <t>Funding Year</t>
  </si>
  <si>
    <t>Committed Amount</t>
  </si>
  <si>
    <t>Cmtd Total Cost</t>
  </si>
  <si>
    <t>Total Authorized Disbursement</t>
  </si>
  <si>
    <t>SCHOOL</t>
  </si>
  <si>
    <t>3810 RED BIRD LANE</t>
  </si>
  <si>
    <t>DALLAS</t>
  </si>
  <si>
    <t>6025 CHIMNEY ROCK ROAD</t>
  </si>
  <si>
    <t>HOUSTON</t>
  </si>
  <si>
    <t>6711 BELLFORT</t>
  </si>
  <si>
    <t>12825 SUMMIT RIDGE DRIVE</t>
  </si>
  <si>
    <t>3116 WEST HIGHWAY 22</t>
  </si>
  <si>
    <t>CORSICANA</t>
  </si>
  <si>
    <t>7777 OSAGE PLAZA PARKWAY</t>
  </si>
  <si>
    <t>2695 S SOUTHWEST LOOP 323</t>
  </si>
  <si>
    <t>TYLER</t>
  </si>
  <si>
    <t>5001 AVENUE U</t>
  </si>
  <si>
    <t>GALVESTON</t>
  </si>
  <si>
    <t>5503 EL CAMINO DEL REY</t>
  </si>
  <si>
    <t>27615 BUENA VISTA ROAD</t>
  </si>
  <si>
    <t>LOS FRESNOS</t>
  </si>
  <si>
    <t>5618 11TH ST</t>
  </si>
  <si>
    <t>KATY</t>
  </si>
  <si>
    <t>9301 ASCENSION PKWY</t>
  </si>
  <si>
    <t>AMARILLO</t>
  </si>
  <si>
    <t>2127 PARMER LN</t>
  </si>
  <si>
    <t>AUSTIN</t>
  </si>
  <si>
    <t>5807 CALHOUN RD</t>
  </si>
  <si>
    <t>4525 BEECHNUT ST</t>
  </si>
  <si>
    <t>3900 RUGGED DR</t>
  </si>
  <si>
    <t>9750 FERGUSON RD</t>
  </si>
  <si>
    <t>1405 E SOUTHEAST LOOP 323</t>
  </si>
  <si>
    <t>240 W KINCAID AVE</t>
  </si>
  <si>
    <t>GAIL</t>
  </si>
  <si>
    <t>2507 CENTRAL FREEWAY E.</t>
  </si>
  <si>
    <t>WICHITA FALLS</t>
  </si>
  <si>
    <t>PO BOX 668</t>
  </si>
  <si>
    <t>BULLARD</t>
  </si>
  <si>
    <t>12707 CULLEN BLVD</t>
  </si>
  <si>
    <t>1201 AUSTIN ST</t>
  </si>
  <si>
    <t>RICHMOND</t>
  </si>
  <si>
    <t>8008 W. MILITARY DR</t>
  </si>
  <si>
    <t>SAN ANTONIO</t>
  </si>
  <si>
    <t>1309 N STANTON ST</t>
  </si>
  <si>
    <t>EL PASO</t>
  </si>
  <si>
    <t>8416 NORTH I.H. 35</t>
  </si>
  <si>
    <t>1403 N SAINT MARYS ST</t>
  </si>
  <si>
    <t>2615 E WALLISVILLE RD</t>
  </si>
  <si>
    <t>HIGHLANDS</t>
  </si>
  <si>
    <t>5105 STONE LAKE DRIVE</t>
  </si>
  <si>
    <t>502 E STARR AVE</t>
  </si>
  <si>
    <t>NACOGDOCHES</t>
  </si>
  <si>
    <t>4100 COLGATE AVE</t>
  </si>
  <si>
    <t>6700 MT CARMEL DRIVE</t>
  </si>
  <si>
    <t>4539 EMERY RD</t>
  </si>
  <si>
    <t>4005 CHEENA DR</t>
  </si>
  <si>
    <t>1054 N. ST. AUGUSTINE DRIVE</t>
  </si>
  <si>
    <t>1150 DEVEREUX DRIVE</t>
  </si>
  <si>
    <t>LEAGUE CITY</t>
  </si>
  <si>
    <t>10202 MEMORIAL DRIVE</t>
  </si>
  <si>
    <t>615 NORTH 25TH STREET</t>
  </si>
  <si>
    <t>WACO</t>
  </si>
  <si>
    <t>HIGHWAY 922</t>
  </si>
  <si>
    <t>ERA</t>
  </si>
  <si>
    <t>680 PEACH ORCHARD RD</t>
  </si>
  <si>
    <t>STEPHENVILLE</t>
  </si>
  <si>
    <t>925 W. EXPRESSWAY 83</t>
  </si>
  <si>
    <t>MISSION</t>
  </si>
  <si>
    <t>12177 HIGHWAY 36</t>
  </si>
  <si>
    <t>BELLEVILLE</t>
  </si>
  <si>
    <t>310 DUNNE ST</t>
  </si>
  <si>
    <t>2524 W. LEDBETTER DRIVE</t>
  </si>
  <si>
    <t>4200 COUNTRY DAY LANE</t>
  </si>
  <si>
    <t>FORT WORTH</t>
  </si>
  <si>
    <t>2601 AVENUE N</t>
  </si>
  <si>
    <t>137 HAMILTON DR</t>
  </si>
  <si>
    <t>119 OCTAVIA PL</t>
  </si>
  <si>
    <t>214 S GARLAND AVE</t>
  </si>
  <si>
    <t>GARLAND</t>
  </si>
  <si>
    <t>3001 UNIVERSITY BLVD</t>
  </si>
  <si>
    <t>824 BROADWAY ST., SUITE 101</t>
  </si>
  <si>
    <t>1214 LINCOLN STREET</t>
  </si>
  <si>
    <t>BROWNSVILLE</t>
  </si>
  <si>
    <t>143 FOREST SERVICE RD #233</t>
  </si>
  <si>
    <t>NEW WAVERLY</t>
  </si>
  <si>
    <t>8915 SOUTH HAMPTON</t>
  </si>
  <si>
    <t>2650 CANADA DRIVE</t>
  </si>
  <si>
    <t>318 W HOUSTON ST</t>
  </si>
  <si>
    <t>PO BOX 18854</t>
  </si>
  <si>
    <t>1451 E NORTHGATE DR</t>
  </si>
  <si>
    <t>IRVING</t>
  </si>
  <si>
    <t>2001 KATY AVE</t>
  </si>
  <si>
    <t>BAY CITY</t>
  </si>
  <si>
    <t>426 N SAN FELIPE AVE</t>
  </si>
  <si>
    <t>9400 NEENAH AVENUE</t>
  </si>
  <si>
    <t>2323 CHEYENNE ST</t>
  </si>
  <si>
    <t>6920 CHIMNEY ROCK RD</t>
  </si>
  <si>
    <t>1408 JAMES ST</t>
  </si>
  <si>
    <t>ROSENBERG</t>
  </si>
  <si>
    <t>6608 W ADAMS AVE</t>
  </si>
  <si>
    <t>TEMPLE</t>
  </si>
  <si>
    <t>3815 OAK LAWN AVE</t>
  </si>
  <si>
    <t>10000 PHEASANT RD</t>
  </si>
  <si>
    <t>2700 W Sam Houston Pkwy N</t>
  </si>
  <si>
    <t>902 WEST 8TH STREET</t>
  </si>
  <si>
    <t>2860 VIRGINIA PARKWAY</t>
  </si>
  <si>
    <t>MCKINNEY</t>
  </si>
  <si>
    <t>400 NE 17TH ST</t>
  </si>
  <si>
    <t>GRAND PRAIRIE</t>
  </si>
  <si>
    <t>244 RESACA BLVD</t>
  </si>
  <si>
    <t>1401 S MACARTHUR</t>
  </si>
  <si>
    <t>3000 W HIGHWAY 22</t>
  </si>
  <si>
    <t>823 N CENTER STREET</t>
  </si>
  <si>
    <t>ARLINGTON</t>
  </si>
  <si>
    <t>12345 INWOOD RD</t>
  </si>
  <si>
    <t>6720 FM 482</t>
  </si>
  <si>
    <t>NEW BRAUNFELS</t>
  </si>
  <si>
    <t>1400 PARKWAY PLAZA</t>
  </si>
  <si>
    <t>2201 WEST PLANO PARKWAY SUITE 125</t>
  </si>
  <si>
    <t>PLANO</t>
  </si>
  <si>
    <t>515 FM 2325</t>
  </si>
  <si>
    <t>WIMBERLEY</t>
  </si>
  <si>
    <t>6676 SANFORD RD</t>
  </si>
  <si>
    <t>10860 ROCKLEY</t>
  </si>
  <si>
    <t>PO BOX 9 , 675 FM 1172</t>
  </si>
  <si>
    <t>LAZBUDDIE</t>
  </si>
  <si>
    <t>905 KENTUCKY AVE</t>
  </si>
  <si>
    <t>1300 HARDAWAY</t>
  </si>
  <si>
    <t>1620 1ST. AVENUE</t>
  </si>
  <si>
    <t>2625 ELM ST.</t>
  </si>
  <si>
    <t>9896 BISSONNET, SUITE 230</t>
  </si>
  <si>
    <t>10 E DEL MAR BLVD</t>
  </si>
  <si>
    <t>LAREDO</t>
  </si>
  <si>
    <t>14032 DENNIS LN</t>
  </si>
  <si>
    <t>3601 VOIS B'ARC ROAD</t>
  </si>
  <si>
    <t>1801 SOUTH BEACH ST.</t>
  </si>
  <si>
    <t>FT. WORTH</t>
  </si>
  <si>
    <t>13663 MAIN STREET</t>
  </si>
  <si>
    <t>3700 WICHITA ST.</t>
  </si>
  <si>
    <t>4500 WEST DAVIS STREET</t>
  </si>
  <si>
    <t>5950 KELLY DR</t>
  </si>
  <si>
    <t>BEAUMONT</t>
  </si>
  <si>
    <t>619 MOUNT SACRED HEART RD</t>
  </si>
  <si>
    <t>606 E ROYAL LANE</t>
  </si>
  <si>
    <t>5500 FM 2920</t>
  </si>
  <si>
    <t>SPRING</t>
  </si>
  <si>
    <t>2018 ALLEN ST</t>
  </si>
  <si>
    <t>2821 LANSING BLVD</t>
  </si>
  <si>
    <t>907 MAIN ST</t>
  </si>
  <si>
    <t>KERRVILLE</t>
  </si>
  <si>
    <t>12301 N LAMAR</t>
  </si>
  <si>
    <t>1605 KRAMER LANE</t>
  </si>
  <si>
    <t>2412 61ST. STREET</t>
  </si>
  <si>
    <t>1702 9TH ST</t>
  </si>
  <si>
    <t>GALENA PARK</t>
  </si>
  <si>
    <t>2405 NAVIGATION BLVD</t>
  </si>
  <si>
    <t>6703 WHITEFRIARS DR</t>
  </si>
  <si>
    <t>8600 WINCHESTER RD</t>
  </si>
  <si>
    <t>1309 E MESQUITE LN</t>
  </si>
  <si>
    <t>VICTORIA</t>
  </si>
  <si>
    <t>7625 CORTLAND AVE</t>
  </si>
  <si>
    <t>1600 HIGHWAY 2004</t>
  </si>
  <si>
    <t>CLUTE</t>
  </si>
  <si>
    <t>821 OAK STREET</t>
  </si>
  <si>
    <t>PALO PINTO</t>
  </si>
  <si>
    <t>4605 LIVE OAK</t>
  </si>
  <si>
    <t>3800 MAIN STREET  SUITE E</t>
  </si>
  <si>
    <t>PO BOX 394, HIGHWAY 303</t>
  </si>
  <si>
    <t>PEP</t>
  </si>
  <si>
    <t>602 SOUTH RAGUET STREET</t>
  </si>
  <si>
    <t>LUFKIN</t>
  </si>
  <si>
    <t>2510 SOUTH VERNON AVE</t>
  </si>
  <si>
    <t>5100 W PLANO PKWY</t>
  </si>
  <si>
    <t>4000 MIDWAY RD</t>
  </si>
  <si>
    <t>CARROLLTON</t>
  </si>
  <si>
    <t>4590 WILMINGTON</t>
  </si>
  <si>
    <t>1215 N SAINT MARYS ST</t>
  </si>
  <si>
    <t>2320 OAKCLIFF ST</t>
  </si>
  <si>
    <t>7330 WESTVIEW DR</t>
  </si>
  <si>
    <t>2102 N 23RD ST</t>
  </si>
  <si>
    <t>916 MAJESTIC ST</t>
  </si>
  <si>
    <t>111 N CHURCH ST</t>
  </si>
  <si>
    <t>ROCKPORT</t>
  </si>
  <si>
    <t>313 S TEXANA ST</t>
  </si>
  <si>
    <t>HALLETTSVILLE</t>
  </si>
  <si>
    <t>209 E GREENWOOD ST</t>
  </si>
  <si>
    <t>DEL RIO</t>
  </si>
  <si>
    <t>615 MCDADE ST</t>
  </si>
  <si>
    <t>CONROE</t>
  </si>
  <si>
    <t>907 RUNNEBURG RD</t>
  </si>
  <si>
    <t>CROSBY</t>
  </si>
  <si>
    <t>401 W LEONA ST</t>
  </si>
  <si>
    <t>UVALDE</t>
  </si>
  <si>
    <t>1007 TRAIL ST</t>
  </si>
  <si>
    <t>FLORESVILLE</t>
  </si>
  <si>
    <t>4616 SAN PEDRO AVENUE, SUITE 104</t>
  </si>
  <si>
    <t>800 HERNDON LANE</t>
  </si>
  <si>
    <t>321 CALUMET AVE</t>
  </si>
  <si>
    <t>1100 MAIN</t>
  </si>
  <si>
    <t>BUDA</t>
  </si>
  <si>
    <t>7730 ABRAMS RD</t>
  </si>
  <si>
    <t>9730 HILLCROFT</t>
  </si>
  <si>
    <t>801 ROSELANE ST</t>
  </si>
  <si>
    <t>4213 MANGUM RD</t>
  </si>
  <si>
    <t>1515 S GEORGIA ST</t>
  </si>
  <si>
    <t>1111 S CHERRY ST</t>
  </si>
  <si>
    <t>TOMBALL</t>
  </si>
  <si>
    <t>2120 WESTHEIMER RD</t>
  </si>
  <si>
    <t>635 BONHAM ST</t>
  </si>
  <si>
    <t>COLUMBUS</t>
  </si>
  <si>
    <t>7901 BAY BRANCH DRIVE</t>
  </si>
  <si>
    <t>THE WOODLANDS</t>
  </si>
  <si>
    <t>205 W HUISACHE AVE</t>
  </si>
  <si>
    <t>5500 LAURELCREEK WAY</t>
  </si>
  <si>
    <t>1911 SAN ANTONIO ST</t>
  </si>
  <si>
    <t>1420 OLD GATE LN</t>
  </si>
  <si>
    <t>2510 WESTRIDGE ST</t>
  </si>
  <si>
    <t>3840 WOODROW DR</t>
  </si>
  <si>
    <t>PORT ARTHUR</t>
  </si>
  <si>
    <t>11740 JOAN OF ARC DR</t>
  </si>
  <si>
    <t>635 MARY CLIFF RD</t>
  </si>
  <si>
    <t>8134 PARK PLACE BLVD</t>
  </si>
  <si>
    <t>3131 EL DORADO BLVD</t>
  </si>
  <si>
    <t>2601 SPRING STUEBNER RD</t>
  </si>
  <si>
    <t>6646 ADDICKS SATSUMA RD</t>
  </si>
  <si>
    <t>4019 S HAMPTON RD</t>
  </si>
  <si>
    <t>8100 ROOS RD</t>
  </si>
  <si>
    <t>5100 DABNEY ST</t>
  </si>
  <si>
    <t>2700 E UNIVERSITY AVE</t>
  </si>
  <si>
    <t>GEORGETOWN</t>
  </si>
  <si>
    <t>2213 OLD ALVIN ROAD</t>
  </si>
  <si>
    <t>PEARLAND</t>
  </si>
  <si>
    <t>602 S CARANCAHUA ST</t>
  </si>
  <si>
    <t>CORPUS CHRISTI</t>
  </si>
  <si>
    <t>8825 KEMPWOOD DR</t>
  </si>
  <si>
    <t>5630 W COMMERCE ST</t>
  </si>
  <si>
    <t>101 SAINT JOSEPH DR</t>
  </si>
  <si>
    <t>506 E MARVIN ST</t>
  </si>
  <si>
    <t>WAXAHACHIE</t>
  </si>
  <si>
    <t>1811 CAROLINA ST</t>
  </si>
  <si>
    <t>BAYTOWN</t>
  </si>
  <si>
    <t>600 SOUTH JUPITER ROAD</t>
  </si>
  <si>
    <t>RICHARDSON</t>
  </si>
  <si>
    <t>2901 E RANCIER AVE</t>
  </si>
  <si>
    <t>KILLEEN</t>
  </si>
  <si>
    <t>2630 AUSTIN PKWY</t>
  </si>
  <si>
    <t>SUGAR LAND</t>
  </si>
  <si>
    <t>610 MADRID ST</t>
  </si>
  <si>
    <t>CASTROVILLE</t>
  </si>
  <si>
    <t>2208 N 23RD ST</t>
  </si>
  <si>
    <t>1201 ALMA DR</t>
  </si>
  <si>
    <t>2411 OAK SHORES DR</t>
  </si>
  <si>
    <t>KINGWOOD</t>
  </si>
  <si>
    <t>202 S ORANGE ST</t>
  </si>
  <si>
    <t>FREDERICKSBURG</t>
  </si>
  <si>
    <t>1700 CLOWER</t>
  </si>
  <si>
    <t>530 FERGUSON</t>
  </si>
  <si>
    <t>HUMBLE</t>
  </si>
  <si>
    <t>1716 SINGLETON BLVD</t>
  </si>
  <si>
    <t>1612 E WALKER ST</t>
  </si>
  <si>
    <t>PO BOX 277</t>
  </si>
  <si>
    <t>WEST</t>
  </si>
  <si>
    <t>410 NORTH TYLER STREET</t>
  </si>
  <si>
    <t>BEEVILLE</t>
  </si>
  <si>
    <t>910 SAN JACINTO BLVD</t>
  </si>
  <si>
    <t>520 WASHBURN ST</t>
  </si>
  <si>
    <t>TAYLOR</t>
  </si>
  <si>
    <t>713 S TRAVIS ST</t>
  </si>
  <si>
    <t>SHERMAN</t>
  </si>
  <si>
    <t>1019 S 7TH ST</t>
  </si>
  <si>
    <t>10703 WURZBACH RD</t>
  </si>
  <si>
    <t>1833 SAGE RD</t>
  </si>
  <si>
    <t>208 N MCLEOD ST</t>
  </si>
  <si>
    <t>CUERO</t>
  </si>
  <si>
    <t>3000 BARTON CREEK BLVD</t>
  </si>
  <si>
    <t>4140 WALNUT HILL LN</t>
  </si>
  <si>
    <t>2116 LOWRY STREET</t>
  </si>
  <si>
    <t>1111 N STANTON ST</t>
  </si>
  <si>
    <t>1800 WEST FWY</t>
  </si>
  <si>
    <t>720 S FLOYD RD</t>
  </si>
  <si>
    <t>112 MARCIA PL</t>
  </si>
  <si>
    <t>6220 LA SALETTE ST</t>
  </si>
  <si>
    <t>1519 HOUSTON ST  PO BOX 520</t>
  </si>
  <si>
    <t>8151 MILITARY PKWY</t>
  </si>
  <si>
    <t>302 W CHURCH ST</t>
  </si>
  <si>
    <t>EL CAMPO</t>
  </si>
  <si>
    <t>812 MAIN ST</t>
  </si>
  <si>
    <t>PASADENA</t>
  </si>
  <si>
    <t>811 W DONOVAN ST</t>
  </si>
  <si>
    <t>3030 GUS THOMASSON RD</t>
  </si>
  <si>
    <t>2310 WOODSIDE DR</t>
  </si>
  <si>
    <t>12525 INWOOD RD</t>
  </si>
  <si>
    <t>3600 BRINKMAN ST</t>
  </si>
  <si>
    <t>6622 HASKELL ST</t>
  </si>
  <si>
    <t>4311 SMALL DR</t>
  </si>
  <si>
    <t>3741 ABRAMS RD</t>
  </si>
  <si>
    <t>5927 WIGTON DR</t>
  </si>
  <si>
    <t>6802 BUFFALO SPEEDWAY</t>
  </si>
  <si>
    <t>2500 WIMBERLY LANE</t>
  </si>
  <si>
    <t>600 S. COULTER DRIVE</t>
  </si>
  <si>
    <t>BRYAN</t>
  </si>
  <si>
    <t>3002 ROSEDALE ST.</t>
  </si>
  <si>
    <t>400 WEST SUNSET</t>
  </si>
  <si>
    <t>115 7TH STREET</t>
  </si>
  <si>
    <t>4301 KELLY LANE</t>
  </si>
  <si>
    <t>PFLUGERVILLE</t>
  </si>
  <si>
    <t>11600 WEST AIRPORT BLVD.</t>
  </si>
  <si>
    <t>MEADOWS PLACE</t>
  </si>
  <si>
    <t>1100 ROOSEVELT ROAD</t>
  </si>
  <si>
    <t>20955 W TEJAS TRL</t>
  </si>
  <si>
    <t>8500 SWEETWATER</t>
  </si>
  <si>
    <t>6506 FRANKFORD RD</t>
  </si>
  <si>
    <t>5600 NORTH BRAESWOOD</t>
  </si>
  <si>
    <t>6921 FRNAKFORD RD</t>
  </si>
  <si>
    <t>802 NORTH 8TH STREET</t>
  </si>
  <si>
    <t>3500 W WADLEY AVE</t>
  </si>
  <si>
    <t>MIDLAND</t>
  </si>
  <si>
    <t>400 PINE DR</t>
  </si>
  <si>
    <t>DICKINSON</t>
  </si>
  <si>
    <t>915 W 9TH ST</t>
  </si>
  <si>
    <t>3838 SPUR 408</t>
  </si>
  <si>
    <t>301 EAST CHURCH ST.</t>
  </si>
  <si>
    <t>GRAND PRARIE</t>
  </si>
  <si>
    <t>9411 HARGROVE DR.</t>
  </si>
  <si>
    <t>2903 JENSEN STREET</t>
  </si>
  <si>
    <t>1750 VICEROY DRIVE</t>
  </si>
  <si>
    <t>3000 TRULLEY STREET</t>
  </si>
  <si>
    <t>6701 CULLEN BLVD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</si>
</sst>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2"/>
  <sheetViews>
    <sheetView tabSelected="1" workbookViewId="0"/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>
        <v>1012704</v>
      </c>
      <c r="B2">
        <v>2824541</v>
      </c>
      <c r="C2" t="str">
        <f>"A.W. BROWN FELLOWSHIP CHARTER SCHOOL"</f>
        <v>A.W. BROWN FELLOWSHIP CHARTER SCHOOL</v>
      </c>
      <c r="D2" t="s">
        <v>11</v>
      </c>
      <c r="E2" t="s">
        <v>12</v>
      </c>
      <c r="F2" t="s">
        <v>13</v>
      </c>
      <c r="G2">
        <v>75237</v>
      </c>
      <c r="H2">
        <v>2015</v>
      </c>
      <c r="I2" s="1">
        <v>51840</v>
      </c>
      <c r="J2" s="1">
        <v>57600</v>
      </c>
    </row>
    <row r="3" spans="1:11" x14ac:dyDescent="0.35">
      <c r="A3">
        <v>1012704</v>
      </c>
      <c r="B3">
        <v>2824559</v>
      </c>
      <c r="C3" t="str">
        <f>"A.W. BROWN FELLOWSHIP CHARTER SCHOOL"</f>
        <v>A.W. BROWN FELLOWSHIP CHARTER SCHOOL</v>
      </c>
      <c r="D3" t="s">
        <v>11</v>
      </c>
      <c r="E3" t="s">
        <v>12</v>
      </c>
      <c r="F3" t="s">
        <v>13</v>
      </c>
      <c r="G3">
        <v>75237</v>
      </c>
      <c r="H3">
        <v>2015</v>
      </c>
      <c r="I3" s="1">
        <v>24300</v>
      </c>
      <c r="J3" s="1">
        <v>27000</v>
      </c>
      <c r="K3" s="1">
        <v>13562.8</v>
      </c>
    </row>
    <row r="4" spans="1:11" x14ac:dyDescent="0.35">
      <c r="A4">
        <v>1045941</v>
      </c>
      <c r="B4">
        <v>2854124</v>
      </c>
      <c r="C4" t="str">
        <f>"ACADEMY OF ACCELERATED LEARNING"</f>
        <v>ACADEMY OF ACCELERATED LEARNING</v>
      </c>
      <c r="D4" t="s">
        <v>11</v>
      </c>
      <c r="E4" t="s">
        <v>14</v>
      </c>
      <c r="F4" t="s">
        <v>15</v>
      </c>
      <c r="G4">
        <v>77081</v>
      </c>
      <c r="H4">
        <v>2015</v>
      </c>
      <c r="I4" s="1">
        <v>25650</v>
      </c>
      <c r="J4" s="1">
        <v>28500</v>
      </c>
      <c r="K4" s="1">
        <v>24081.75</v>
      </c>
    </row>
    <row r="5" spans="1:11" x14ac:dyDescent="0.35">
      <c r="A5">
        <v>1046035</v>
      </c>
      <c r="B5">
        <v>2854299</v>
      </c>
      <c r="C5" t="str">
        <f>"ACADEMY OF ACCELERATED LEARNING"</f>
        <v>ACADEMY OF ACCELERATED LEARNING</v>
      </c>
      <c r="D5" t="s">
        <v>11</v>
      </c>
      <c r="E5" t="s">
        <v>16</v>
      </c>
      <c r="F5" t="s">
        <v>15</v>
      </c>
      <c r="G5">
        <v>77087</v>
      </c>
      <c r="H5">
        <v>2015</v>
      </c>
      <c r="I5" s="1">
        <v>25650</v>
      </c>
      <c r="J5" s="1">
        <v>28500</v>
      </c>
      <c r="K5" s="1">
        <v>23440.5</v>
      </c>
    </row>
    <row r="6" spans="1:11" x14ac:dyDescent="0.35">
      <c r="A6">
        <v>1022501</v>
      </c>
      <c r="B6">
        <v>2774930</v>
      </c>
      <c r="C6" t="str">
        <f>"ACADEMY OF ACCELERATED LEARNING"</f>
        <v>ACADEMY OF ACCELERATED LEARNING</v>
      </c>
      <c r="D6" t="s">
        <v>11</v>
      </c>
      <c r="E6" t="s">
        <v>16</v>
      </c>
      <c r="F6" t="s">
        <v>15</v>
      </c>
      <c r="G6">
        <v>77087</v>
      </c>
      <c r="H6">
        <v>2015</v>
      </c>
      <c r="I6" s="1">
        <v>6526.12</v>
      </c>
      <c r="J6" s="1">
        <v>7251.24</v>
      </c>
      <c r="K6" s="1">
        <v>6526.12</v>
      </c>
    </row>
    <row r="7" spans="1:11" x14ac:dyDescent="0.35">
      <c r="A7">
        <v>1021875</v>
      </c>
      <c r="B7">
        <v>2774706</v>
      </c>
      <c r="C7" t="str">
        <f>"ACADEMY OF ACCELERATED LEARNING"</f>
        <v>ACADEMY OF ACCELERATED LEARNING</v>
      </c>
      <c r="D7" t="s">
        <v>11</v>
      </c>
      <c r="E7" t="s">
        <v>14</v>
      </c>
      <c r="F7" t="s">
        <v>15</v>
      </c>
      <c r="G7">
        <v>77081</v>
      </c>
      <c r="H7">
        <v>2015</v>
      </c>
      <c r="I7" s="1">
        <v>18666.830000000002</v>
      </c>
      <c r="J7" s="1">
        <v>20740.919999999998</v>
      </c>
    </row>
    <row r="8" spans="1:11" x14ac:dyDescent="0.35">
      <c r="A8">
        <v>1024423</v>
      </c>
      <c r="B8">
        <v>2780945</v>
      </c>
      <c r="C8" t="str">
        <f>"ACCELERATED INTERMEDIATE ACADEMY # 1 ELEMENTARY"</f>
        <v>ACCELERATED INTERMEDIATE ACADEMY # 1 ELEMENTARY</v>
      </c>
      <c r="D8" t="s">
        <v>11</v>
      </c>
      <c r="E8" t="s">
        <v>17</v>
      </c>
      <c r="F8" t="s">
        <v>15</v>
      </c>
      <c r="G8">
        <v>77085</v>
      </c>
      <c r="H8">
        <v>2015</v>
      </c>
      <c r="I8" s="1">
        <v>2663.71</v>
      </c>
      <c r="J8" s="1">
        <v>2959.68</v>
      </c>
      <c r="K8" s="1">
        <v>1793.46</v>
      </c>
    </row>
    <row r="9" spans="1:11" x14ac:dyDescent="0.35">
      <c r="A9">
        <v>1024085</v>
      </c>
      <c r="B9">
        <v>2779963</v>
      </c>
      <c r="C9" t="str">
        <f>"AGAPE CHRISTIAN ACADEMY"</f>
        <v>AGAPE CHRISTIAN ACADEMY</v>
      </c>
      <c r="D9" t="s">
        <v>11</v>
      </c>
      <c r="E9" t="s">
        <v>18</v>
      </c>
      <c r="F9" t="s">
        <v>19</v>
      </c>
      <c r="G9">
        <v>75110</v>
      </c>
      <c r="H9">
        <v>2015</v>
      </c>
      <c r="I9" s="1">
        <v>14029.2</v>
      </c>
      <c r="J9" s="1">
        <v>15588</v>
      </c>
      <c r="K9" s="1">
        <v>14029.2</v>
      </c>
    </row>
    <row r="10" spans="1:11" x14ac:dyDescent="0.35">
      <c r="A10">
        <v>1029076</v>
      </c>
      <c r="B10">
        <v>2796260</v>
      </c>
      <c r="C10" t="str">
        <f>"ALL SAINTS CATHOLIC SCHOOL"</f>
        <v>ALL SAINTS CATHOLIC SCHOOL</v>
      </c>
      <c r="D10" t="s">
        <v>11</v>
      </c>
      <c r="E10" t="s">
        <v>20</v>
      </c>
      <c r="F10" t="s">
        <v>13</v>
      </c>
      <c r="G10">
        <v>75252</v>
      </c>
      <c r="H10">
        <v>2015</v>
      </c>
      <c r="I10" s="1">
        <v>8429.81</v>
      </c>
      <c r="J10" s="1">
        <v>21074.52</v>
      </c>
      <c r="K10" s="1">
        <v>8429.76</v>
      </c>
    </row>
    <row r="11" spans="1:11" x14ac:dyDescent="0.35">
      <c r="A11">
        <v>1014797</v>
      </c>
      <c r="B11">
        <v>2760082</v>
      </c>
      <c r="C11" t="str">
        <f>"ALL SAINTS EPISCOPAL SCHOOL"</f>
        <v>ALL SAINTS EPISCOPAL SCHOOL</v>
      </c>
      <c r="D11" t="s">
        <v>11</v>
      </c>
      <c r="E11" t="s">
        <v>21</v>
      </c>
      <c r="F11" t="s">
        <v>22</v>
      </c>
      <c r="G11">
        <v>75701</v>
      </c>
      <c r="H11">
        <v>2015</v>
      </c>
      <c r="I11" s="1">
        <v>8160</v>
      </c>
      <c r="J11" s="1">
        <v>20400</v>
      </c>
    </row>
    <row r="12" spans="1:11" x14ac:dyDescent="0.35">
      <c r="A12">
        <v>1047703</v>
      </c>
      <c r="B12">
        <v>2859734</v>
      </c>
      <c r="C12" t="str">
        <f>"AMBASSADORS PREPARATORY ACADEMY"</f>
        <v>AMBASSADORS PREPARATORY ACADEMY</v>
      </c>
      <c r="D12" t="s">
        <v>11</v>
      </c>
      <c r="E12" t="s">
        <v>23</v>
      </c>
      <c r="F12" t="s">
        <v>24</v>
      </c>
      <c r="G12">
        <v>77551</v>
      </c>
      <c r="H12">
        <v>2015</v>
      </c>
      <c r="I12" s="1">
        <v>15500.27</v>
      </c>
      <c r="J12" s="1">
        <v>17222.52</v>
      </c>
    </row>
    <row r="13" spans="1:11" x14ac:dyDescent="0.35">
      <c r="A13">
        <v>1024210</v>
      </c>
      <c r="B13">
        <v>2867951</v>
      </c>
      <c r="C13" t="str">
        <f>"AMIGOS POR VIDA-FRIENDS FOR LIFE CHARTER SCHOOL"</f>
        <v>AMIGOS POR VIDA-FRIENDS FOR LIFE CHARTER SCHOOL</v>
      </c>
      <c r="D13" t="s">
        <v>11</v>
      </c>
      <c r="E13" t="s">
        <v>25</v>
      </c>
      <c r="F13" t="s">
        <v>15</v>
      </c>
      <c r="G13">
        <v>77081</v>
      </c>
      <c r="H13">
        <v>2015</v>
      </c>
      <c r="I13" s="1">
        <v>14636.7</v>
      </c>
      <c r="J13" s="1">
        <v>16263</v>
      </c>
    </row>
    <row r="14" spans="1:11" x14ac:dyDescent="0.35">
      <c r="A14">
        <v>1009555</v>
      </c>
      <c r="B14">
        <v>2741079</v>
      </c>
      <c r="C14" t="str">
        <f>"AMIKIDS RIO GRANDE VALLEY"</f>
        <v>AMIKIDS RIO GRANDE VALLEY</v>
      </c>
      <c r="D14" t="s">
        <v>11</v>
      </c>
      <c r="E14" t="s">
        <v>26</v>
      </c>
      <c r="F14" t="s">
        <v>27</v>
      </c>
      <c r="G14">
        <v>78566</v>
      </c>
      <c r="H14">
        <v>2015</v>
      </c>
      <c r="I14" s="1">
        <v>5508</v>
      </c>
      <c r="J14" s="1">
        <v>6120</v>
      </c>
      <c r="K14" s="1">
        <v>5508</v>
      </c>
    </row>
    <row r="15" spans="1:11" x14ac:dyDescent="0.35">
      <c r="A15">
        <v>1024872</v>
      </c>
      <c r="B15">
        <v>2871221</v>
      </c>
      <c r="C15" t="str">
        <f>"ARISTOI CLASSICAL ACADEMY"</f>
        <v>ARISTOI CLASSICAL ACADEMY</v>
      </c>
      <c r="D15" t="s">
        <v>11</v>
      </c>
      <c r="E15" t="s">
        <v>28</v>
      </c>
      <c r="F15" t="s">
        <v>29</v>
      </c>
      <c r="G15">
        <v>77493</v>
      </c>
      <c r="H15">
        <v>2015</v>
      </c>
      <c r="I15" s="1">
        <v>1155.32</v>
      </c>
      <c r="J15" s="1">
        <v>2888.3</v>
      </c>
      <c r="K15" s="1">
        <v>1155.32</v>
      </c>
    </row>
    <row r="16" spans="1:11" x14ac:dyDescent="0.35">
      <c r="A16">
        <v>1024872</v>
      </c>
      <c r="B16">
        <v>2838441</v>
      </c>
      <c r="C16" t="str">
        <f>"ARISTOI CLASSICAL ACADEMY"</f>
        <v>ARISTOI CLASSICAL ACADEMY</v>
      </c>
      <c r="D16" t="s">
        <v>11</v>
      </c>
      <c r="E16" t="s">
        <v>28</v>
      </c>
      <c r="F16" t="s">
        <v>29</v>
      </c>
      <c r="G16">
        <v>77493</v>
      </c>
      <c r="H16">
        <v>2015</v>
      </c>
      <c r="I16" s="1">
        <v>968.88</v>
      </c>
      <c r="J16" s="1">
        <v>2422.1999999999998</v>
      </c>
      <c r="K16" s="1">
        <v>968.88</v>
      </c>
    </row>
    <row r="17" spans="1:11" x14ac:dyDescent="0.35">
      <c r="A17">
        <v>1042377</v>
      </c>
      <c r="B17">
        <v>2841884</v>
      </c>
      <c r="C17" t="str">
        <f>"ASCENSION ACADEMY"</f>
        <v>ASCENSION ACADEMY</v>
      </c>
      <c r="D17" t="s">
        <v>11</v>
      </c>
      <c r="E17" t="s">
        <v>30</v>
      </c>
      <c r="F17" t="s">
        <v>31</v>
      </c>
      <c r="G17">
        <v>79119</v>
      </c>
      <c r="H17">
        <v>2015</v>
      </c>
      <c r="I17" s="1">
        <v>1200</v>
      </c>
      <c r="J17" s="1">
        <v>3000</v>
      </c>
      <c r="K17" s="1">
        <v>1131.24</v>
      </c>
    </row>
    <row r="18" spans="1:11" x14ac:dyDescent="0.35">
      <c r="A18">
        <v>1042377</v>
      </c>
      <c r="B18">
        <v>2841778</v>
      </c>
      <c r="C18" t="str">
        <f>"ASCENSION ACADEMY"</f>
        <v>ASCENSION ACADEMY</v>
      </c>
      <c r="D18" t="s">
        <v>11</v>
      </c>
      <c r="E18" t="s">
        <v>30</v>
      </c>
      <c r="F18" t="s">
        <v>31</v>
      </c>
      <c r="G18">
        <v>79119</v>
      </c>
      <c r="H18">
        <v>2015</v>
      </c>
      <c r="I18" s="1">
        <v>28512</v>
      </c>
      <c r="J18" s="1">
        <v>71280</v>
      </c>
      <c r="K18" s="1">
        <v>13640.26</v>
      </c>
    </row>
    <row r="19" spans="1:11" x14ac:dyDescent="0.35">
      <c r="A19">
        <v>1032519</v>
      </c>
      <c r="B19">
        <v>2808868</v>
      </c>
      <c r="C19" t="str">
        <f>"BAIS MENACHEM"</f>
        <v>BAIS MENACHEM</v>
      </c>
      <c r="D19" t="s">
        <v>11</v>
      </c>
      <c r="E19" t="s">
        <v>32</v>
      </c>
      <c r="F19" t="s">
        <v>33</v>
      </c>
      <c r="G19">
        <v>78731</v>
      </c>
      <c r="H19">
        <v>2015</v>
      </c>
      <c r="I19" s="1">
        <v>0</v>
      </c>
      <c r="J19" s="1">
        <v>0</v>
      </c>
    </row>
    <row r="20" spans="1:11" x14ac:dyDescent="0.35">
      <c r="A20">
        <v>1032520</v>
      </c>
      <c r="B20">
        <v>2808877</v>
      </c>
      <c r="C20" t="str">
        <f>"BAIS MENACHEM"</f>
        <v>BAIS MENACHEM</v>
      </c>
      <c r="D20" t="s">
        <v>11</v>
      </c>
      <c r="E20" t="s">
        <v>32</v>
      </c>
      <c r="F20" t="s">
        <v>33</v>
      </c>
      <c r="G20">
        <v>78731</v>
      </c>
      <c r="H20">
        <v>2015</v>
      </c>
      <c r="I20" s="1">
        <v>0</v>
      </c>
      <c r="J20" s="1">
        <v>0</v>
      </c>
    </row>
    <row r="21" spans="1:11" x14ac:dyDescent="0.35">
      <c r="A21">
        <v>1033339</v>
      </c>
      <c r="B21">
        <v>2811467</v>
      </c>
      <c r="C21" t="str">
        <f>"BEATRICE MAYES INSTITUTE CHARTER SCHOOL"</f>
        <v>BEATRICE MAYES INSTITUTE CHARTER SCHOOL</v>
      </c>
      <c r="D21" t="s">
        <v>11</v>
      </c>
      <c r="E21" t="s">
        <v>34</v>
      </c>
      <c r="F21" t="s">
        <v>15</v>
      </c>
      <c r="G21">
        <v>77021</v>
      </c>
      <c r="H21">
        <v>2015</v>
      </c>
      <c r="I21" s="1">
        <v>4050</v>
      </c>
      <c r="J21" s="1">
        <v>4500</v>
      </c>
    </row>
    <row r="22" spans="1:11" x14ac:dyDescent="0.35">
      <c r="A22">
        <v>1009692</v>
      </c>
      <c r="B22">
        <v>2742171</v>
      </c>
      <c r="C22" t="str">
        <f>"BETH YESHURUN"</f>
        <v>BETH YESHURUN</v>
      </c>
      <c r="D22" t="s">
        <v>11</v>
      </c>
      <c r="E22" t="s">
        <v>35</v>
      </c>
      <c r="F22" t="s">
        <v>15</v>
      </c>
      <c r="G22">
        <v>77096</v>
      </c>
      <c r="H22">
        <v>2015</v>
      </c>
      <c r="I22" s="1">
        <v>0</v>
      </c>
      <c r="J22" s="1">
        <v>0</v>
      </c>
    </row>
    <row r="23" spans="1:11" x14ac:dyDescent="0.35">
      <c r="A23">
        <v>1045521</v>
      </c>
      <c r="B23">
        <v>2852661</v>
      </c>
      <c r="C23" t="str">
        <f>"BETH YESHURUN"</f>
        <v>BETH YESHURUN</v>
      </c>
      <c r="D23" t="s">
        <v>11</v>
      </c>
      <c r="E23" t="s">
        <v>35</v>
      </c>
      <c r="F23" t="s">
        <v>15</v>
      </c>
      <c r="G23">
        <v>77096</v>
      </c>
      <c r="H23">
        <v>2015</v>
      </c>
      <c r="I23" s="1">
        <v>769.15</v>
      </c>
      <c r="J23" s="1">
        <v>1922.88</v>
      </c>
      <c r="K23" s="1">
        <v>769.15</v>
      </c>
    </row>
    <row r="24" spans="1:11" x14ac:dyDescent="0.35">
      <c r="A24">
        <v>1048615</v>
      </c>
      <c r="B24">
        <v>2863508</v>
      </c>
      <c r="C24" t="str">
        <f>"BISHOP DUNNE HIGH SCHOOL"</f>
        <v>BISHOP DUNNE HIGH SCHOOL</v>
      </c>
      <c r="D24" t="s">
        <v>11</v>
      </c>
      <c r="E24" t="s">
        <v>36</v>
      </c>
      <c r="F24" t="s">
        <v>13</v>
      </c>
      <c r="G24">
        <v>75224</v>
      </c>
      <c r="H24">
        <v>2015</v>
      </c>
      <c r="I24" s="1">
        <v>20001.599999999999</v>
      </c>
      <c r="J24" s="1">
        <v>40003.199999999997</v>
      </c>
      <c r="K24" s="1">
        <v>19351.71</v>
      </c>
    </row>
    <row r="25" spans="1:11" x14ac:dyDescent="0.35">
      <c r="A25">
        <v>1020316</v>
      </c>
      <c r="B25">
        <v>2768580</v>
      </c>
      <c r="C25" t="str">
        <f>"BISHOP LYNCH HIGH SCHOOL"</f>
        <v>BISHOP LYNCH HIGH SCHOOL</v>
      </c>
      <c r="D25" t="s">
        <v>11</v>
      </c>
      <c r="E25" t="s">
        <v>37</v>
      </c>
      <c r="F25" t="s">
        <v>13</v>
      </c>
      <c r="G25">
        <v>75228</v>
      </c>
      <c r="H25">
        <v>2015</v>
      </c>
      <c r="I25" s="1">
        <v>10572</v>
      </c>
      <c r="J25" s="1">
        <v>26430</v>
      </c>
      <c r="K25" s="1">
        <v>9934.94</v>
      </c>
    </row>
    <row r="26" spans="1:11" x14ac:dyDescent="0.35">
      <c r="A26">
        <v>1004713</v>
      </c>
      <c r="B26">
        <v>2729924</v>
      </c>
      <c r="C26" t="str">
        <f>"BISHOP T K GORMAN SCHOOL"</f>
        <v>BISHOP T K GORMAN SCHOOL</v>
      </c>
      <c r="D26" t="s">
        <v>11</v>
      </c>
      <c r="E26" t="s">
        <v>38</v>
      </c>
      <c r="F26" t="s">
        <v>22</v>
      </c>
      <c r="G26">
        <v>75701</v>
      </c>
      <c r="H26">
        <v>2015</v>
      </c>
      <c r="I26" s="1">
        <v>4800</v>
      </c>
      <c r="J26" s="1">
        <v>12000</v>
      </c>
      <c r="K26" s="1">
        <v>4800</v>
      </c>
    </row>
    <row r="27" spans="1:11" x14ac:dyDescent="0.35">
      <c r="A27">
        <v>1022358</v>
      </c>
      <c r="B27">
        <v>2788497</v>
      </c>
      <c r="C27" t="str">
        <f>"BORDEN CO INDEP SCHOOL DIST"</f>
        <v>BORDEN CO INDEP SCHOOL DIST</v>
      </c>
      <c r="D27" t="s">
        <v>11</v>
      </c>
      <c r="E27" t="s">
        <v>39</v>
      </c>
      <c r="F27" t="s">
        <v>40</v>
      </c>
      <c r="G27">
        <v>79738</v>
      </c>
      <c r="H27">
        <v>2015</v>
      </c>
      <c r="I27" s="1">
        <v>12528</v>
      </c>
      <c r="J27" s="1">
        <v>20880</v>
      </c>
      <c r="K27" s="1">
        <v>12528</v>
      </c>
    </row>
    <row r="28" spans="1:11" x14ac:dyDescent="0.35">
      <c r="A28">
        <v>1000614</v>
      </c>
      <c r="B28">
        <v>2723766</v>
      </c>
      <c r="C28" t="str">
        <f>"BRIGHT IDEAS SCHOOL"</f>
        <v>BRIGHT IDEAS SCHOOL</v>
      </c>
      <c r="D28" t="s">
        <v>11</v>
      </c>
      <c r="E28" t="s">
        <v>41</v>
      </c>
      <c r="F28" t="s">
        <v>42</v>
      </c>
      <c r="G28">
        <v>76302</v>
      </c>
      <c r="H28">
        <v>2015</v>
      </c>
      <c r="I28" s="1">
        <v>0</v>
      </c>
      <c r="J28" s="1">
        <v>0</v>
      </c>
    </row>
    <row r="29" spans="1:11" x14ac:dyDescent="0.35">
      <c r="A29">
        <v>1036576</v>
      </c>
      <c r="B29">
        <v>2853129</v>
      </c>
      <c r="C29" t="str">
        <f>"BROOK HILLS SCHOOL"</f>
        <v>BROOK HILLS SCHOOL</v>
      </c>
      <c r="D29" t="s">
        <v>11</v>
      </c>
      <c r="E29" t="s">
        <v>43</v>
      </c>
      <c r="F29" t="s">
        <v>44</v>
      </c>
      <c r="G29">
        <v>75757</v>
      </c>
      <c r="H29">
        <v>2015</v>
      </c>
      <c r="I29" s="1">
        <v>5908.8</v>
      </c>
      <c r="J29" s="1">
        <v>14772</v>
      </c>
      <c r="K29" s="1">
        <v>1000.8</v>
      </c>
    </row>
    <row r="30" spans="1:11" x14ac:dyDescent="0.35">
      <c r="A30">
        <v>1036576</v>
      </c>
      <c r="B30">
        <v>2853213</v>
      </c>
      <c r="C30" t="str">
        <f>"BROOK HILLS SCHOOL"</f>
        <v>BROOK HILLS SCHOOL</v>
      </c>
      <c r="D30" t="s">
        <v>11</v>
      </c>
      <c r="E30" t="s">
        <v>43</v>
      </c>
      <c r="F30" t="s">
        <v>44</v>
      </c>
      <c r="G30">
        <v>75757</v>
      </c>
      <c r="H30">
        <v>2015</v>
      </c>
      <c r="I30" s="1">
        <v>11200</v>
      </c>
      <c r="J30" s="1">
        <v>28000</v>
      </c>
      <c r="K30" s="1">
        <v>11200</v>
      </c>
    </row>
    <row r="31" spans="1:11" x14ac:dyDescent="0.35">
      <c r="A31">
        <v>1027110</v>
      </c>
      <c r="B31">
        <v>2789136</v>
      </c>
      <c r="C31" t="str">
        <f>"C.O.R.E. ACADEMY"</f>
        <v>C.O.R.E. ACADEMY</v>
      </c>
      <c r="D31" t="s">
        <v>11</v>
      </c>
      <c r="E31" t="s">
        <v>45</v>
      </c>
      <c r="F31" t="s">
        <v>15</v>
      </c>
      <c r="G31">
        <v>77047</v>
      </c>
      <c r="H31">
        <v>2015</v>
      </c>
      <c r="I31" s="1">
        <v>12016.58</v>
      </c>
      <c r="J31" s="1">
        <v>13351.76</v>
      </c>
      <c r="K31" s="1">
        <v>12016.57</v>
      </c>
    </row>
    <row r="32" spans="1:11" x14ac:dyDescent="0.35">
      <c r="A32">
        <v>1018277</v>
      </c>
      <c r="B32">
        <v>2763893</v>
      </c>
      <c r="C32" t="str">
        <f>"CALVARY EPISCOPAL SCHOOL INC"</f>
        <v>CALVARY EPISCOPAL SCHOOL INC</v>
      </c>
      <c r="D32" t="s">
        <v>11</v>
      </c>
      <c r="E32" t="s">
        <v>46</v>
      </c>
      <c r="F32" t="s">
        <v>47</v>
      </c>
      <c r="G32">
        <v>77469</v>
      </c>
      <c r="H32">
        <v>2015</v>
      </c>
      <c r="I32" s="1">
        <v>1125.02</v>
      </c>
      <c r="J32" s="1">
        <v>2812.56</v>
      </c>
      <c r="K32" s="1">
        <v>1125.02</v>
      </c>
    </row>
    <row r="33" spans="1:11" x14ac:dyDescent="0.35">
      <c r="A33">
        <v>1031121</v>
      </c>
      <c r="B33">
        <v>2803542</v>
      </c>
      <c r="C33" t="str">
        <f>"CARPE DIEM-WESTWOOD CAMPUS"</f>
        <v>CARPE DIEM-WESTWOOD CAMPUS</v>
      </c>
      <c r="D33" t="s">
        <v>11</v>
      </c>
      <c r="E33" t="s">
        <v>48</v>
      </c>
      <c r="F33" t="s">
        <v>49</v>
      </c>
      <c r="G33">
        <v>78227</v>
      </c>
      <c r="H33">
        <v>2015</v>
      </c>
      <c r="I33" s="1">
        <v>15052.8</v>
      </c>
      <c r="J33" s="1">
        <v>18816</v>
      </c>
      <c r="K33" s="1">
        <v>13478.5</v>
      </c>
    </row>
    <row r="34" spans="1:11" x14ac:dyDescent="0.35">
      <c r="A34">
        <v>1009726</v>
      </c>
      <c r="B34">
        <v>2740757</v>
      </c>
      <c r="C34" t="str">
        <f>"CATHEDRAL HIGH SCHOOL"</f>
        <v>CATHEDRAL HIGH SCHOOL</v>
      </c>
      <c r="D34" t="s">
        <v>11</v>
      </c>
      <c r="E34" t="s">
        <v>50</v>
      </c>
      <c r="F34" t="s">
        <v>51</v>
      </c>
      <c r="G34">
        <v>79902</v>
      </c>
      <c r="H34">
        <v>2015</v>
      </c>
      <c r="I34" s="1">
        <v>1649.7</v>
      </c>
      <c r="J34" s="1">
        <v>3299.4</v>
      </c>
      <c r="K34" s="1">
        <v>1649.69</v>
      </c>
    </row>
    <row r="35" spans="1:11" x14ac:dyDescent="0.35">
      <c r="A35">
        <v>1034729</v>
      </c>
      <c r="B35">
        <v>2815720</v>
      </c>
      <c r="C35" t="str">
        <f>"CEDARS INTERNATIONAL ACADEMY"</f>
        <v>CEDARS INTERNATIONAL ACADEMY</v>
      </c>
      <c r="D35" t="s">
        <v>11</v>
      </c>
      <c r="E35" t="s">
        <v>52</v>
      </c>
      <c r="F35" t="s">
        <v>33</v>
      </c>
      <c r="G35">
        <v>78753</v>
      </c>
      <c r="H35">
        <v>2015</v>
      </c>
      <c r="I35" s="1">
        <v>7045.92</v>
      </c>
      <c r="J35" s="1">
        <v>7828.8</v>
      </c>
    </row>
    <row r="36" spans="1:11" x14ac:dyDescent="0.35">
      <c r="A36">
        <v>1050447</v>
      </c>
      <c r="B36">
        <v>2869896</v>
      </c>
      <c r="C36" t="str">
        <f>"CENTRAL CATHOLIC HIGH SCHOOL"</f>
        <v>CENTRAL CATHOLIC HIGH SCHOOL</v>
      </c>
      <c r="D36" t="s">
        <v>11</v>
      </c>
      <c r="E36" t="s">
        <v>53</v>
      </c>
      <c r="F36" t="s">
        <v>49</v>
      </c>
      <c r="G36">
        <v>78215</v>
      </c>
      <c r="H36">
        <v>2015</v>
      </c>
      <c r="I36" s="1">
        <v>6195.89</v>
      </c>
      <c r="J36" s="1">
        <v>15489.72</v>
      </c>
    </row>
    <row r="37" spans="1:11" x14ac:dyDescent="0.35">
      <c r="A37">
        <v>997126</v>
      </c>
      <c r="B37">
        <v>2795657</v>
      </c>
      <c r="C37" t="str">
        <f>"CHINQUAPIN PREPARATORY SCHOOL"</f>
        <v>CHINQUAPIN PREPARATORY SCHOOL</v>
      </c>
      <c r="D37" t="s">
        <v>11</v>
      </c>
      <c r="E37" t="s">
        <v>54</v>
      </c>
      <c r="F37" t="s">
        <v>55</v>
      </c>
      <c r="G37">
        <v>77562</v>
      </c>
      <c r="H37">
        <v>2015</v>
      </c>
      <c r="I37" s="1">
        <v>26800.2</v>
      </c>
      <c r="J37" s="1">
        <v>29778</v>
      </c>
      <c r="K37" s="1">
        <v>26010.87</v>
      </c>
    </row>
    <row r="38" spans="1:11" x14ac:dyDescent="0.35">
      <c r="A38">
        <v>1049212</v>
      </c>
      <c r="B38">
        <v>2865268</v>
      </c>
      <c r="C38" t="str">
        <f>"CHRIST ACADEMY"</f>
        <v>CHRIST ACADEMY</v>
      </c>
      <c r="D38" t="s">
        <v>11</v>
      </c>
      <c r="E38" t="s">
        <v>56</v>
      </c>
      <c r="F38" t="s">
        <v>42</v>
      </c>
      <c r="G38">
        <v>76310</v>
      </c>
      <c r="H38">
        <v>2015</v>
      </c>
      <c r="I38" s="1">
        <v>1704</v>
      </c>
      <c r="J38" s="1">
        <v>4260</v>
      </c>
      <c r="K38" s="1">
        <v>896.88</v>
      </c>
    </row>
    <row r="39" spans="1:11" x14ac:dyDescent="0.35">
      <c r="A39">
        <v>1020484</v>
      </c>
      <c r="B39">
        <v>2768810</v>
      </c>
      <c r="C39" t="str">
        <f>"CHRIST EPISCOPAL SCHOOL"</f>
        <v>CHRIST EPISCOPAL SCHOOL</v>
      </c>
      <c r="D39" t="s">
        <v>11</v>
      </c>
      <c r="E39" t="s">
        <v>57</v>
      </c>
      <c r="F39" t="s">
        <v>58</v>
      </c>
      <c r="G39">
        <v>75961</v>
      </c>
      <c r="H39">
        <v>2015</v>
      </c>
      <c r="I39" s="1">
        <v>513.6</v>
      </c>
      <c r="J39" s="1">
        <v>1284</v>
      </c>
      <c r="K39" s="1">
        <v>512.4</v>
      </c>
    </row>
    <row r="40" spans="1:11" x14ac:dyDescent="0.35">
      <c r="A40">
        <v>1026606</v>
      </c>
      <c r="B40">
        <v>2787329</v>
      </c>
      <c r="C40" t="str">
        <f>"CHRIST THE KING SCHOOL"</f>
        <v>CHRIST THE KING SCHOOL</v>
      </c>
      <c r="D40" t="s">
        <v>11</v>
      </c>
      <c r="E40" t="s">
        <v>59</v>
      </c>
      <c r="F40" t="s">
        <v>13</v>
      </c>
      <c r="G40">
        <v>75225</v>
      </c>
      <c r="H40">
        <v>2015</v>
      </c>
      <c r="I40" s="1">
        <v>10560</v>
      </c>
      <c r="J40" s="1">
        <v>26400</v>
      </c>
      <c r="K40" s="1">
        <v>10560</v>
      </c>
    </row>
    <row r="41" spans="1:11" x14ac:dyDescent="0.35">
      <c r="A41">
        <v>996322</v>
      </c>
      <c r="B41">
        <v>2719592</v>
      </c>
      <c r="C41" t="str">
        <f>"CHRISTO REY CATHOLIC SCHOOL"</f>
        <v>CHRISTO REY CATHOLIC SCHOOL</v>
      </c>
      <c r="D41" t="s">
        <v>11</v>
      </c>
      <c r="E41" t="s">
        <v>60</v>
      </c>
      <c r="F41" t="s">
        <v>15</v>
      </c>
      <c r="G41">
        <v>77087</v>
      </c>
      <c r="H41">
        <v>2015</v>
      </c>
      <c r="I41" s="1">
        <v>1167.74</v>
      </c>
      <c r="J41" s="1">
        <v>1459.68</v>
      </c>
      <c r="K41" s="1">
        <v>1167.74</v>
      </c>
    </row>
    <row r="42" spans="1:11" x14ac:dyDescent="0.35">
      <c r="A42">
        <v>1018993</v>
      </c>
      <c r="B42">
        <v>2830325</v>
      </c>
      <c r="C42" t="str">
        <f>"COMMUNITY OF FAITH CHRISTIAN SCHOOL"</f>
        <v>COMMUNITY OF FAITH CHRISTIAN SCHOOL</v>
      </c>
      <c r="D42" t="s">
        <v>11</v>
      </c>
      <c r="E42" t="s">
        <v>61</v>
      </c>
      <c r="F42" t="s">
        <v>51</v>
      </c>
      <c r="G42">
        <v>79922</v>
      </c>
      <c r="H42">
        <v>2015</v>
      </c>
      <c r="I42" s="1">
        <v>715.2</v>
      </c>
      <c r="J42" s="1">
        <v>1788</v>
      </c>
      <c r="K42" s="1">
        <v>703.25</v>
      </c>
    </row>
    <row r="43" spans="1:11" x14ac:dyDescent="0.35">
      <c r="A43">
        <v>997091</v>
      </c>
      <c r="B43">
        <v>2719172</v>
      </c>
      <c r="C43" t="str">
        <f>"CORPUS CHRISTI SCHOOL"</f>
        <v>CORPUS CHRISTI SCHOOL</v>
      </c>
      <c r="D43" t="s">
        <v>11</v>
      </c>
      <c r="E43" t="s">
        <v>62</v>
      </c>
      <c r="F43" t="s">
        <v>15</v>
      </c>
      <c r="G43">
        <v>77025</v>
      </c>
      <c r="H43">
        <v>2015</v>
      </c>
      <c r="I43" s="1">
        <v>739.1</v>
      </c>
      <c r="J43" s="1">
        <v>1847.76</v>
      </c>
      <c r="K43" s="1">
        <v>738.8</v>
      </c>
    </row>
    <row r="44" spans="1:11" x14ac:dyDescent="0.35">
      <c r="A44">
        <v>1043940</v>
      </c>
      <c r="B44">
        <v>2847821</v>
      </c>
      <c r="C44" t="str">
        <f>"CRISTO REY DALLAS HIGH SCHOOL, INC."</f>
        <v>CRISTO REY DALLAS HIGH SCHOOL, INC.</v>
      </c>
      <c r="D44" t="s">
        <v>11</v>
      </c>
      <c r="E44" t="s">
        <v>63</v>
      </c>
      <c r="F44" t="s">
        <v>13</v>
      </c>
      <c r="G44">
        <v>75217</v>
      </c>
      <c r="H44">
        <v>2015</v>
      </c>
      <c r="I44" s="1">
        <v>21579.3</v>
      </c>
      <c r="J44" s="1">
        <v>23977</v>
      </c>
      <c r="K44" s="1">
        <v>18156.919999999998</v>
      </c>
    </row>
    <row r="45" spans="1:11" x14ac:dyDescent="0.35">
      <c r="A45">
        <v>1022878</v>
      </c>
      <c r="B45">
        <v>2813945</v>
      </c>
      <c r="C45" t="str">
        <f>"DEVEREUX - TEXAS"</f>
        <v>DEVEREUX - TEXAS</v>
      </c>
      <c r="D45" t="s">
        <v>11</v>
      </c>
      <c r="E45" t="s">
        <v>64</v>
      </c>
      <c r="F45" t="s">
        <v>65</v>
      </c>
      <c r="G45">
        <v>77573</v>
      </c>
      <c r="H45">
        <v>2015</v>
      </c>
      <c r="I45" s="1">
        <v>213.52</v>
      </c>
      <c r="J45" s="1">
        <v>237.24</v>
      </c>
      <c r="K45" s="1">
        <v>213.52</v>
      </c>
    </row>
    <row r="46" spans="1:11" x14ac:dyDescent="0.35">
      <c r="A46">
        <v>1023507</v>
      </c>
      <c r="B46">
        <v>2778116</v>
      </c>
      <c r="C46" t="str">
        <f>"DUCHESNE ACADEMY HIGH SCHOOL"</f>
        <v>DUCHESNE ACADEMY HIGH SCHOOL</v>
      </c>
      <c r="D46" t="s">
        <v>11</v>
      </c>
      <c r="E46" t="s">
        <v>66</v>
      </c>
      <c r="F46" t="s">
        <v>15</v>
      </c>
      <c r="G46">
        <v>77024</v>
      </c>
      <c r="H46">
        <v>2015</v>
      </c>
      <c r="I46" s="1">
        <v>13511.95</v>
      </c>
      <c r="J46" s="1">
        <v>33779.879999999997</v>
      </c>
      <c r="K46" s="1">
        <v>11478.44</v>
      </c>
    </row>
    <row r="47" spans="1:11" x14ac:dyDescent="0.35">
      <c r="A47">
        <v>1022952</v>
      </c>
      <c r="B47">
        <v>2776245</v>
      </c>
      <c r="C47" t="str">
        <f>"DUCHESNE ACADEMY HIGH SCHOOL"</f>
        <v>DUCHESNE ACADEMY HIGH SCHOOL</v>
      </c>
      <c r="D47" t="s">
        <v>11</v>
      </c>
      <c r="E47" t="s">
        <v>66</v>
      </c>
      <c r="F47" t="s">
        <v>15</v>
      </c>
      <c r="G47">
        <v>77024</v>
      </c>
      <c r="H47">
        <v>2015</v>
      </c>
      <c r="I47" s="1">
        <v>0</v>
      </c>
      <c r="J47" s="1">
        <v>0</v>
      </c>
    </row>
    <row r="48" spans="1:11" x14ac:dyDescent="0.35">
      <c r="A48">
        <v>1003623</v>
      </c>
      <c r="B48">
        <v>2727468</v>
      </c>
      <c r="C48" t="str">
        <f>"EOAC WACO CHARTER SCHOOL"</f>
        <v>EOAC WACO CHARTER SCHOOL</v>
      </c>
      <c r="D48" t="s">
        <v>11</v>
      </c>
      <c r="E48" t="s">
        <v>67</v>
      </c>
      <c r="F48" t="s">
        <v>68</v>
      </c>
      <c r="G48">
        <v>76707</v>
      </c>
      <c r="H48">
        <v>2015</v>
      </c>
      <c r="I48" s="1">
        <v>12949.2</v>
      </c>
      <c r="J48" s="1">
        <v>14388</v>
      </c>
      <c r="K48" s="1">
        <v>12949.2</v>
      </c>
    </row>
    <row r="49" spans="1:11" x14ac:dyDescent="0.35">
      <c r="A49">
        <v>1016472</v>
      </c>
      <c r="B49">
        <v>2762368</v>
      </c>
      <c r="C49" t="str">
        <f>"ERA ELEMENTARY &amp; HIGH SCHOOL"</f>
        <v>ERA ELEMENTARY &amp; HIGH SCHOOL</v>
      </c>
      <c r="D49" t="s">
        <v>11</v>
      </c>
      <c r="E49" t="s">
        <v>69</v>
      </c>
      <c r="F49" t="s">
        <v>70</v>
      </c>
      <c r="G49">
        <v>76238</v>
      </c>
      <c r="H49">
        <v>2015</v>
      </c>
      <c r="I49" s="1">
        <v>13440</v>
      </c>
      <c r="J49" s="1">
        <v>19200</v>
      </c>
      <c r="K49" s="1">
        <v>13440</v>
      </c>
    </row>
    <row r="50" spans="1:11" x14ac:dyDescent="0.35">
      <c r="A50">
        <v>1037064</v>
      </c>
      <c r="B50">
        <v>2824153</v>
      </c>
      <c r="C50" t="str">
        <f>"ERATH EXCELS  ACADEMY"</f>
        <v>ERATH EXCELS  ACADEMY</v>
      </c>
      <c r="D50" t="s">
        <v>11</v>
      </c>
      <c r="E50" t="s">
        <v>71</v>
      </c>
      <c r="F50" t="s">
        <v>72</v>
      </c>
      <c r="G50">
        <v>76401</v>
      </c>
      <c r="H50">
        <v>2015</v>
      </c>
      <c r="I50" s="1">
        <v>3906</v>
      </c>
      <c r="J50" s="1">
        <v>7440</v>
      </c>
      <c r="K50" s="1">
        <v>3906</v>
      </c>
    </row>
    <row r="51" spans="1:11" x14ac:dyDescent="0.35">
      <c r="A51">
        <v>1008520</v>
      </c>
      <c r="B51">
        <v>2813643</v>
      </c>
      <c r="C51" t="str">
        <f>"EXCELLENCE IN LEADERSHIP ACADEMY"</f>
        <v>EXCELLENCE IN LEADERSHIP ACADEMY</v>
      </c>
      <c r="D51" t="s">
        <v>11</v>
      </c>
      <c r="E51" t="s">
        <v>73</v>
      </c>
      <c r="F51" t="s">
        <v>74</v>
      </c>
      <c r="G51">
        <v>78572</v>
      </c>
      <c r="H51">
        <v>2015</v>
      </c>
      <c r="I51" s="1">
        <v>7316.46</v>
      </c>
      <c r="J51" s="1">
        <v>8129.4</v>
      </c>
      <c r="K51" s="1">
        <v>3529.35</v>
      </c>
    </row>
    <row r="52" spans="1:11" x14ac:dyDescent="0.35">
      <c r="A52">
        <v>1018198</v>
      </c>
      <c r="B52">
        <v>2763689</v>
      </c>
      <c r="C52" t="str">
        <f>"FAITH ACADEMY"</f>
        <v>FAITH ACADEMY</v>
      </c>
      <c r="D52" t="s">
        <v>11</v>
      </c>
      <c r="E52" t="s">
        <v>75</v>
      </c>
      <c r="F52" t="s">
        <v>76</v>
      </c>
      <c r="G52">
        <v>77418</v>
      </c>
      <c r="H52">
        <v>2015</v>
      </c>
      <c r="I52" s="1">
        <v>6600</v>
      </c>
      <c r="J52" s="1">
        <v>13200</v>
      </c>
    </row>
    <row r="53" spans="1:11" x14ac:dyDescent="0.35">
      <c r="A53">
        <v>1028965</v>
      </c>
      <c r="B53">
        <v>2795681</v>
      </c>
      <c r="C53" t="str">
        <f>"FATHER YERMO LEARNING CENTER"</f>
        <v>FATHER YERMO LEARNING CENTER</v>
      </c>
      <c r="D53" t="s">
        <v>11</v>
      </c>
      <c r="E53" t="s">
        <v>77</v>
      </c>
      <c r="F53" t="s">
        <v>51</v>
      </c>
      <c r="G53">
        <v>79905</v>
      </c>
      <c r="H53">
        <v>2015</v>
      </c>
      <c r="I53" s="1">
        <v>11473.92</v>
      </c>
      <c r="J53" s="1">
        <v>12748.8</v>
      </c>
      <c r="K53" s="1">
        <v>6806.89</v>
      </c>
    </row>
    <row r="54" spans="1:11" x14ac:dyDescent="0.35">
      <c r="A54">
        <v>1048151</v>
      </c>
      <c r="B54">
        <v>2872200</v>
      </c>
      <c r="C54" t="str">
        <f>"FOCUS LEARNING ACADEMY"</f>
        <v>FOCUS LEARNING ACADEMY</v>
      </c>
      <c r="D54" t="s">
        <v>11</v>
      </c>
      <c r="E54" t="s">
        <v>78</v>
      </c>
      <c r="F54" t="s">
        <v>13</v>
      </c>
      <c r="G54">
        <v>75233</v>
      </c>
      <c r="H54">
        <v>2015</v>
      </c>
      <c r="I54" s="1">
        <v>0</v>
      </c>
      <c r="J54" s="1">
        <v>0</v>
      </c>
    </row>
    <row r="55" spans="1:11" x14ac:dyDescent="0.35">
      <c r="A55">
        <v>1048151</v>
      </c>
      <c r="B55">
        <v>2872502</v>
      </c>
      <c r="C55" t="str">
        <f>"FOCUS LEARNING ACADEMY"</f>
        <v>FOCUS LEARNING ACADEMY</v>
      </c>
      <c r="D55" t="s">
        <v>11</v>
      </c>
      <c r="E55" t="s">
        <v>78</v>
      </c>
      <c r="F55" t="s">
        <v>13</v>
      </c>
      <c r="G55">
        <v>75233</v>
      </c>
      <c r="H55">
        <v>2015</v>
      </c>
      <c r="I55" s="1">
        <v>13884.05</v>
      </c>
      <c r="J55" s="1">
        <v>19834.349999999999</v>
      </c>
      <c r="K55" s="1">
        <v>13884.05</v>
      </c>
    </row>
    <row r="56" spans="1:11" x14ac:dyDescent="0.35">
      <c r="A56">
        <v>1048151</v>
      </c>
      <c r="B56">
        <v>2871458</v>
      </c>
      <c r="C56" t="str">
        <f>"FOCUS LEARNING ACADEMY"</f>
        <v>FOCUS LEARNING ACADEMY</v>
      </c>
      <c r="D56" t="s">
        <v>11</v>
      </c>
      <c r="E56" t="s">
        <v>78</v>
      </c>
      <c r="F56" t="s">
        <v>13</v>
      </c>
      <c r="G56">
        <v>75233</v>
      </c>
      <c r="H56">
        <v>2015</v>
      </c>
      <c r="I56" s="1">
        <v>85725</v>
      </c>
      <c r="J56" s="1">
        <v>95250</v>
      </c>
      <c r="K56" s="1">
        <v>85725</v>
      </c>
    </row>
    <row r="57" spans="1:11" x14ac:dyDescent="0.35">
      <c r="A57">
        <v>1048151</v>
      </c>
      <c r="B57">
        <v>2871015</v>
      </c>
      <c r="C57" t="str">
        <f>"FOCUS LEARNING ACADEMY"</f>
        <v>FOCUS LEARNING ACADEMY</v>
      </c>
      <c r="D57" t="s">
        <v>11</v>
      </c>
      <c r="E57" t="s">
        <v>78</v>
      </c>
      <c r="F57" t="s">
        <v>13</v>
      </c>
      <c r="G57">
        <v>75233</v>
      </c>
      <c r="H57">
        <v>2015</v>
      </c>
      <c r="I57" s="1">
        <v>24395.9</v>
      </c>
      <c r="J57" s="1">
        <v>27106.560000000001</v>
      </c>
      <c r="K57" s="1">
        <v>22747.5</v>
      </c>
    </row>
    <row r="58" spans="1:11" x14ac:dyDescent="0.35">
      <c r="A58">
        <v>1048151</v>
      </c>
      <c r="B58">
        <v>2871565</v>
      </c>
      <c r="C58" t="str">
        <f>"FOCUS LEARNING ACADEMY"</f>
        <v>FOCUS LEARNING ACADEMY</v>
      </c>
      <c r="D58" t="s">
        <v>11</v>
      </c>
      <c r="E58" t="s">
        <v>78</v>
      </c>
      <c r="F58" t="s">
        <v>13</v>
      </c>
      <c r="G58">
        <v>75233</v>
      </c>
      <c r="H58">
        <v>2015</v>
      </c>
      <c r="I58" s="1">
        <v>0</v>
      </c>
      <c r="J58" s="1">
        <v>0</v>
      </c>
    </row>
    <row r="59" spans="1:11" x14ac:dyDescent="0.35">
      <c r="A59">
        <v>1010415</v>
      </c>
      <c r="B59">
        <v>2742546</v>
      </c>
      <c r="C59" t="str">
        <f>"FORT WORTH COUNTRY DAY"</f>
        <v>FORT WORTH COUNTRY DAY</v>
      </c>
      <c r="D59" t="s">
        <v>11</v>
      </c>
      <c r="E59" t="s">
        <v>79</v>
      </c>
      <c r="F59" t="s">
        <v>80</v>
      </c>
      <c r="G59">
        <v>76109</v>
      </c>
      <c r="H59">
        <v>2015</v>
      </c>
      <c r="I59" s="1">
        <v>0</v>
      </c>
      <c r="J59" s="1">
        <v>0</v>
      </c>
    </row>
    <row r="60" spans="1:11" x14ac:dyDescent="0.35">
      <c r="A60">
        <v>1026565</v>
      </c>
      <c r="B60">
        <v>2790869</v>
      </c>
      <c r="C60" t="str">
        <f>"FORT WORTH COUNTRY DAY"</f>
        <v>FORT WORTH COUNTRY DAY</v>
      </c>
      <c r="D60" t="s">
        <v>11</v>
      </c>
      <c r="E60" t="s">
        <v>79</v>
      </c>
      <c r="F60" t="s">
        <v>80</v>
      </c>
      <c r="G60">
        <v>76109</v>
      </c>
      <c r="H60">
        <v>2015</v>
      </c>
      <c r="I60" s="1">
        <v>18016.8</v>
      </c>
      <c r="J60" s="1">
        <v>45042</v>
      </c>
      <c r="K60" s="1">
        <v>18016.8</v>
      </c>
    </row>
    <row r="61" spans="1:11" x14ac:dyDescent="0.35">
      <c r="A61">
        <v>997095</v>
      </c>
      <c r="B61">
        <v>2719177</v>
      </c>
      <c r="C61" t="str">
        <f>"GALVESTON CATHOLIC SCHOOL"</f>
        <v>GALVESTON CATHOLIC SCHOOL</v>
      </c>
      <c r="D61" t="s">
        <v>11</v>
      </c>
      <c r="E61" t="s">
        <v>81</v>
      </c>
      <c r="F61" t="s">
        <v>24</v>
      </c>
      <c r="G61">
        <v>77550</v>
      </c>
      <c r="H61">
        <v>2015</v>
      </c>
      <c r="I61" s="1">
        <v>775.73</v>
      </c>
      <c r="J61" s="1">
        <v>1292.8800000000001</v>
      </c>
      <c r="K61" s="1">
        <v>775.2</v>
      </c>
    </row>
    <row r="62" spans="1:11" x14ac:dyDescent="0.35">
      <c r="A62">
        <v>1037206</v>
      </c>
      <c r="B62">
        <v>2825339</v>
      </c>
      <c r="C62" t="str">
        <f>"GHOLSON INDEP SCHOOL DISTRICT"</f>
        <v>GHOLSON INDEP SCHOOL DISTRICT</v>
      </c>
      <c r="D62" t="s">
        <v>11</v>
      </c>
      <c r="E62" t="s">
        <v>82</v>
      </c>
      <c r="F62" t="s">
        <v>68</v>
      </c>
      <c r="G62">
        <v>76705</v>
      </c>
      <c r="H62">
        <v>2015</v>
      </c>
      <c r="I62" s="1">
        <v>8100</v>
      </c>
      <c r="J62" s="1">
        <v>9000</v>
      </c>
      <c r="K62" s="1">
        <v>8100</v>
      </c>
    </row>
    <row r="63" spans="1:11" x14ac:dyDescent="0.35">
      <c r="A63">
        <v>1037498</v>
      </c>
      <c r="B63">
        <v>2860178</v>
      </c>
      <c r="C63" t="str">
        <f>"GOOD SHEPHERD ACADEMY"</f>
        <v>GOOD SHEPHERD ACADEMY</v>
      </c>
      <c r="D63" t="s">
        <v>11</v>
      </c>
      <c r="E63" t="s">
        <v>83</v>
      </c>
      <c r="F63" t="s">
        <v>49</v>
      </c>
      <c r="G63">
        <v>78214</v>
      </c>
      <c r="H63">
        <v>2015</v>
      </c>
      <c r="I63" s="1">
        <v>3417.22</v>
      </c>
      <c r="J63" s="1">
        <v>4271.5200000000004</v>
      </c>
      <c r="K63" s="1">
        <v>3373.44</v>
      </c>
    </row>
    <row r="64" spans="1:11" x14ac:dyDescent="0.35">
      <c r="A64">
        <v>1037498</v>
      </c>
      <c r="B64">
        <v>2860152</v>
      </c>
      <c r="C64" t="str">
        <f>"GOOD SHEPHERD ACADEMY"</f>
        <v>GOOD SHEPHERD ACADEMY</v>
      </c>
      <c r="D64" t="s">
        <v>11</v>
      </c>
      <c r="E64" t="s">
        <v>83</v>
      </c>
      <c r="F64" t="s">
        <v>49</v>
      </c>
      <c r="G64">
        <v>78214</v>
      </c>
      <c r="H64">
        <v>2015</v>
      </c>
      <c r="I64" s="1">
        <v>6101.76</v>
      </c>
      <c r="J64" s="1">
        <v>7627.2</v>
      </c>
      <c r="K64" s="1">
        <v>6101.76</v>
      </c>
    </row>
    <row r="65" spans="1:11" x14ac:dyDescent="0.35">
      <c r="A65">
        <v>1014447</v>
      </c>
      <c r="B65">
        <v>2759407</v>
      </c>
      <c r="C65" t="str">
        <f>"GOOD SHEPHERD SCHOOL"</f>
        <v>GOOD SHEPHERD SCHOOL</v>
      </c>
      <c r="D65" t="s">
        <v>11</v>
      </c>
      <c r="E65" t="s">
        <v>84</v>
      </c>
      <c r="F65" t="s">
        <v>85</v>
      </c>
      <c r="G65">
        <v>75040</v>
      </c>
      <c r="H65">
        <v>2015</v>
      </c>
      <c r="I65" s="1">
        <v>2846.11</v>
      </c>
      <c r="J65" s="1">
        <v>3557.64</v>
      </c>
      <c r="K65" s="1">
        <v>2358</v>
      </c>
    </row>
    <row r="66" spans="1:11" x14ac:dyDescent="0.35">
      <c r="A66">
        <v>999388</v>
      </c>
      <c r="B66">
        <v>2755179</v>
      </c>
      <c r="C66" t="str">
        <f>"GRACE COMMUNITY SCHOOL"</f>
        <v>GRACE COMMUNITY SCHOOL</v>
      </c>
      <c r="D66" t="s">
        <v>11</v>
      </c>
      <c r="E66" t="s">
        <v>86</v>
      </c>
      <c r="F66" t="s">
        <v>22</v>
      </c>
      <c r="G66">
        <v>75701</v>
      </c>
      <c r="H66">
        <v>2015</v>
      </c>
      <c r="I66" s="1">
        <v>3499.85</v>
      </c>
      <c r="J66" s="1">
        <v>17499.240000000002</v>
      </c>
      <c r="K66" s="1">
        <v>3499.81</v>
      </c>
    </row>
    <row r="67" spans="1:11" x14ac:dyDescent="0.35">
      <c r="A67">
        <v>1012772</v>
      </c>
      <c r="B67">
        <v>2851717</v>
      </c>
      <c r="C67" t="str">
        <f>"GREAT HEARTS AMERICA-TEXAS"</f>
        <v>GREAT HEARTS AMERICA-TEXAS</v>
      </c>
      <c r="D67" t="s">
        <v>11</v>
      </c>
      <c r="E67" t="s">
        <v>87</v>
      </c>
      <c r="F67" t="s">
        <v>49</v>
      </c>
      <c r="G67">
        <v>78215</v>
      </c>
      <c r="H67">
        <v>2015</v>
      </c>
      <c r="I67" s="1">
        <v>5878.67</v>
      </c>
      <c r="J67" s="1">
        <v>14696.68</v>
      </c>
      <c r="K67" s="1">
        <v>2775.6</v>
      </c>
    </row>
    <row r="68" spans="1:11" x14ac:dyDescent="0.35">
      <c r="A68">
        <v>1012772</v>
      </c>
      <c r="B68">
        <v>2851692</v>
      </c>
      <c r="C68" t="str">
        <f>"GREAT HEARTS AMERICA-TEXAS"</f>
        <v>GREAT HEARTS AMERICA-TEXAS</v>
      </c>
      <c r="D68" t="s">
        <v>11</v>
      </c>
      <c r="E68" t="s">
        <v>87</v>
      </c>
      <c r="F68" t="s">
        <v>49</v>
      </c>
      <c r="G68">
        <v>78215</v>
      </c>
      <c r="H68">
        <v>2015</v>
      </c>
      <c r="I68" s="1">
        <v>5658.67</v>
      </c>
      <c r="J68" s="1">
        <v>14146.68</v>
      </c>
      <c r="K68" s="1">
        <v>2914.44</v>
      </c>
    </row>
    <row r="69" spans="1:11" x14ac:dyDescent="0.35">
      <c r="A69">
        <v>1012772</v>
      </c>
      <c r="B69">
        <v>2851684</v>
      </c>
      <c r="C69" t="str">
        <f>"GREAT HEARTS AMERICA-TEXAS"</f>
        <v>GREAT HEARTS AMERICA-TEXAS</v>
      </c>
      <c r="D69" t="s">
        <v>11</v>
      </c>
      <c r="E69" t="s">
        <v>87</v>
      </c>
      <c r="F69" t="s">
        <v>49</v>
      </c>
      <c r="G69">
        <v>78215</v>
      </c>
      <c r="H69">
        <v>2015</v>
      </c>
      <c r="I69" s="1">
        <v>5658.67</v>
      </c>
      <c r="J69" s="1">
        <v>14146.68</v>
      </c>
      <c r="K69" s="1">
        <v>2914.44</v>
      </c>
    </row>
    <row r="70" spans="1:11" x14ac:dyDescent="0.35">
      <c r="A70">
        <v>1012772</v>
      </c>
      <c r="B70">
        <v>2851730</v>
      </c>
      <c r="C70" t="str">
        <f>"GREAT HEARTS AMERICA-TEXAS"</f>
        <v>GREAT HEARTS AMERICA-TEXAS</v>
      </c>
      <c r="D70" t="s">
        <v>11</v>
      </c>
      <c r="E70" t="s">
        <v>87</v>
      </c>
      <c r="F70" t="s">
        <v>49</v>
      </c>
      <c r="G70">
        <v>78215</v>
      </c>
      <c r="H70">
        <v>2015</v>
      </c>
      <c r="I70" s="1">
        <v>5663.47</v>
      </c>
      <c r="J70" s="1">
        <v>14158.68</v>
      </c>
      <c r="K70" s="1">
        <v>2914.44</v>
      </c>
    </row>
    <row r="71" spans="1:11" x14ac:dyDescent="0.35">
      <c r="A71">
        <v>1012772</v>
      </c>
      <c r="B71">
        <v>2851704</v>
      </c>
      <c r="C71" t="str">
        <f>"GREAT HEARTS AMERICA-TEXAS"</f>
        <v>GREAT HEARTS AMERICA-TEXAS</v>
      </c>
      <c r="D71" t="s">
        <v>11</v>
      </c>
      <c r="E71" t="s">
        <v>87</v>
      </c>
      <c r="F71" t="s">
        <v>49</v>
      </c>
      <c r="G71">
        <v>78215</v>
      </c>
      <c r="H71">
        <v>2015</v>
      </c>
      <c r="I71" s="1">
        <v>5878.67</v>
      </c>
      <c r="J71" s="1">
        <v>14696.68</v>
      </c>
      <c r="K71" s="1">
        <v>3031.16</v>
      </c>
    </row>
    <row r="72" spans="1:11" x14ac:dyDescent="0.35">
      <c r="A72">
        <v>1025967</v>
      </c>
      <c r="B72">
        <v>2824789</v>
      </c>
      <c r="C72" t="str">
        <f>"GUADALUPE REGIONAL MIDDLE SCHOOL"</f>
        <v>GUADALUPE REGIONAL MIDDLE SCHOOL</v>
      </c>
      <c r="D72" t="s">
        <v>11</v>
      </c>
      <c r="E72" t="s">
        <v>88</v>
      </c>
      <c r="F72" t="s">
        <v>89</v>
      </c>
      <c r="G72">
        <v>78521</v>
      </c>
      <c r="H72">
        <v>2015</v>
      </c>
      <c r="I72" s="1">
        <v>6048</v>
      </c>
      <c r="J72" s="1">
        <v>6720</v>
      </c>
      <c r="K72" s="1">
        <v>5940</v>
      </c>
    </row>
    <row r="73" spans="1:11" x14ac:dyDescent="0.35">
      <c r="A73">
        <v>1003686</v>
      </c>
      <c r="B73">
        <v>2754848</v>
      </c>
      <c r="C73" t="str">
        <f>"GULF COAST TRADES CENTER"</f>
        <v>GULF COAST TRADES CENTER</v>
      </c>
      <c r="D73" t="s">
        <v>11</v>
      </c>
      <c r="E73" t="s">
        <v>90</v>
      </c>
      <c r="F73" t="s">
        <v>91</v>
      </c>
      <c r="G73">
        <v>77358</v>
      </c>
      <c r="H73">
        <v>2015</v>
      </c>
      <c r="I73" s="1">
        <v>26636.26</v>
      </c>
      <c r="J73" s="1">
        <v>29595.84</v>
      </c>
      <c r="K73" s="1">
        <v>26636.26</v>
      </c>
    </row>
    <row r="74" spans="1:11" x14ac:dyDescent="0.35">
      <c r="A74">
        <v>1024066</v>
      </c>
      <c r="B74">
        <v>2779758</v>
      </c>
      <c r="C74" t="str">
        <f>"HAMPTON PREPRARATORY SCHOOL"</f>
        <v>HAMPTON PREPRARATORY SCHOOL</v>
      </c>
      <c r="D74" t="s">
        <v>11</v>
      </c>
      <c r="E74" t="s">
        <v>92</v>
      </c>
      <c r="F74" t="s">
        <v>13</v>
      </c>
      <c r="G74">
        <v>75232</v>
      </c>
      <c r="H74">
        <v>2015</v>
      </c>
      <c r="I74" s="1">
        <v>34909.919999999998</v>
      </c>
      <c r="J74" s="1">
        <v>43637.4</v>
      </c>
      <c r="K74" s="1">
        <v>34909.919999999998</v>
      </c>
    </row>
    <row r="75" spans="1:11" x14ac:dyDescent="0.35">
      <c r="A75">
        <v>1024086</v>
      </c>
      <c r="B75">
        <v>2863711</v>
      </c>
      <c r="C75" t="str">
        <f>"HEIGHTS PREPATATORY"</f>
        <v>HEIGHTS PREPATATORY</v>
      </c>
      <c r="D75" t="s">
        <v>11</v>
      </c>
      <c r="E75" t="s">
        <v>93</v>
      </c>
      <c r="F75" t="s">
        <v>13</v>
      </c>
      <c r="G75">
        <v>75212</v>
      </c>
      <c r="H75">
        <v>2015</v>
      </c>
      <c r="I75" s="1">
        <v>29458.51</v>
      </c>
      <c r="J75" s="1">
        <v>32731.68</v>
      </c>
      <c r="K75" s="1">
        <v>29458.51</v>
      </c>
    </row>
    <row r="76" spans="1:11" x14ac:dyDescent="0.35">
      <c r="A76">
        <v>1017634</v>
      </c>
      <c r="B76">
        <v>2762032</v>
      </c>
      <c r="C76" t="str">
        <f>"HFA ALAMEDA SCHOOL"</f>
        <v>HFA ALAMEDA SCHOOL</v>
      </c>
      <c r="D76" t="s">
        <v>11</v>
      </c>
      <c r="E76" t="s">
        <v>94</v>
      </c>
      <c r="F76" t="s">
        <v>49</v>
      </c>
      <c r="G76">
        <v>78205</v>
      </c>
      <c r="H76">
        <v>2015</v>
      </c>
      <c r="I76" s="1">
        <v>25440</v>
      </c>
      <c r="J76" s="1">
        <v>31800</v>
      </c>
      <c r="K76" s="1">
        <v>14253.27</v>
      </c>
    </row>
    <row r="77" spans="1:11" x14ac:dyDescent="0.35">
      <c r="A77">
        <v>1030059</v>
      </c>
      <c r="B77">
        <v>2799458</v>
      </c>
      <c r="C77" t="str">
        <f>"HIGGS, CARTER, KING  GIFTED &amp; TALENTED CHARTER ACADEMY"</f>
        <v>HIGGS, CARTER, KING  GIFTED &amp; TALENTED CHARTER ACADEMY</v>
      </c>
      <c r="D77" t="s">
        <v>11</v>
      </c>
      <c r="E77" t="s">
        <v>95</v>
      </c>
      <c r="F77" t="s">
        <v>49</v>
      </c>
      <c r="G77">
        <v>78218</v>
      </c>
      <c r="H77">
        <v>2015</v>
      </c>
      <c r="I77" s="1">
        <v>69660</v>
      </c>
      <c r="J77" s="1">
        <v>77400</v>
      </c>
    </row>
    <row r="78" spans="1:11" x14ac:dyDescent="0.35">
      <c r="A78">
        <v>1049204</v>
      </c>
      <c r="B78">
        <v>2865064</v>
      </c>
      <c r="C78" t="str">
        <f>"HIGHLANDS SCHOOL"</f>
        <v>HIGHLANDS SCHOOL</v>
      </c>
      <c r="D78" t="s">
        <v>11</v>
      </c>
      <c r="E78" t="s">
        <v>96</v>
      </c>
      <c r="F78" t="s">
        <v>97</v>
      </c>
      <c r="G78">
        <v>75062</v>
      </c>
      <c r="H78">
        <v>2015</v>
      </c>
      <c r="I78" s="1">
        <v>8158.08</v>
      </c>
      <c r="J78" s="1">
        <v>20395.2</v>
      </c>
      <c r="K78" s="1">
        <v>8158.08</v>
      </c>
    </row>
    <row r="79" spans="1:11" x14ac:dyDescent="0.35">
      <c r="A79">
        <v>998866</v>
      </c>
      <c r="B79">
        <v>2721262</v>
      </c>
      <c r="C79" t="str">
        <f>"HOLY CROSS ELEMENTARY SCHOOL"</f>
        <v>HOLY CROSS ELEMENTARY SCHOOL</v>
      </c>
      <c r="D79" t="s">
        <v>11</v>
      </c>
      <c r="E79" t="s">
        <v>98</v>
      </c>
      <c r="F79" t="s">
        <v>99</v>
      </c>
      <c r="G79">
        <v>77414</v>
      </c>
      <c r="H79">
        <v>2015</v>
      </c>
      <c r="I79" s="1">
        <v>224.64</v>
      </c>
      <c r="J79" s="1">
        <v>561.6</v>
      </c>
      <c r="K79" s="1">
        <v>224.4</v>
      </c>
    </row>
    <row r="80" spans="1:11" x14ac:dyDescent="0.35">
      <c r="A80">
        <v>1041800</v>
      </c>
      <c r="B80">
        <v>2840214</v>
      </c>
      <c r="C80" t="str">
        <f>"HOLY CROSS JR-SR HIGH SCHOOL"</f>
        <v>HOLY CROSS JR-SR HIGH SCHOOL</v>
      </c>
      <c r="D80" t="s">
        <v>11</v>
      </c>
      <c r="E80" t="s">
        <v>100</v>
      </c>
      <c r="F80" t="s">
        <v>49</v>
      </c>
      <c r="G80">
        <v>78228</v>
      </c>
      <c r="H80">
        <v>2015</v>
      </c>
      <c r="I80" s="1">
        <v>14191.2</v>
      </c>
      <c r="J80" s="1">
        <v>15768</v>
      </c>
      <c r="K80" s="1">
        <v>14191.2</v>
      </c>
    </row>
    <row r="81" spans="1:11" x14ac:dyDescent="0.35">
      <c r="A81">
        <v>1031869</v>
      </c>
      <c r="B81">
        <v>2806833</v>
      </c>
      <c r="C81" t="str">
        <f>"HOLY FAMILY CATHOLIC SCHOOL"</f>
        <v>HOLY FAMILY CATHOLIC SCHOOL</v>
      </c>
      <c r="D81" t="s">
        <v>11</v>
      </c>
      <c r="E81" t="s">
        <v>101</v>
      </c>
      <c r="F81" t="s">
        <v>33</v>
      </c>
      <c r="G81">
        <v>78717</v>
      </c>
      <c r="H81">
        <v>2015</v>
      </c>
      <c r="I81" s="1">
        <v>2689.6</v>
      </c>
      <c r="J81" s="1">
        <v>6724</v>
      </c>
      <c r="K81" s="1">
        <v>2689.6</v>
      </c>
    </row>
    <row r="82" spans="1:11" x14ac:dyDescent="0.35">
      <c r="A82">
        <v>1031869</v>
      </c>
      <c r="B82">
        <v>2806700</v>
      </c>
      <c r="C82" t="str">
        <f>"HOLY FAMILY CATHOLIC SCHOOL"</f>
        <v>HOLY FAMILY CATHOLIC SCHOOL</v>
      </c>
      <c r="D82" t="s">
        <v>11</v>
      </c>
      <c r="E82" t="s">
        <v>101</v>
      </c>
      <c r="F82" t="s">
        <v>33</v>
      </c>
      <c r="G82">
        <v>78717</v>
      </c>
      <c r="H82">
        <v>2015</v>
      </c>
      <c r="I82" s="1">
        <v>9108</v>
      </c>
      <c r="J82" s="1">
        <v>22770</v>
      </c>
      <c r="K82" s="1">
        <v>9108</v>
      </c>
    </row>
    <row r="83" spans="1:11" x14ac:dyDescent="0.35">
      <c r="A83">
        <v>1029853</v>
      </c>
      <c r="B83">
        <v>2798528</v>
      </c>
      <c r="C83" t="str">
        <f>"HOLY FAMILY OF NAZARETH SCHOOL"</f>
        <v>HOLY FAMILY OF NAZARETH SCHOOL</v>
      </c>
      <c r="D83" t="s">
        <v>11</v>
      </c>
      <c r="E83" t="s">
        <v>102</v>
      </c>
      <c r="F83" t="s">
        <v>97</v>
      </c>
      <c r="G83">
        <v>75062</v>
      </c>
      <c r="H83">
        <v>2015</v>
      </c>
      <c r="I83" s="1">
        <v>1063.08</v>
      </c>
      <c r="J83" s="1">
        <v>2126.16</v>
      </c>
      <c r="K83" s="1">
        <v>1063.08</v>
      </c>
    </row>
    <row r="84" spans="1:11" x14ac:dyDescent="0.35">
      <c r="A84">
        <v>997096</v>
      </c>
      <c r="B84">
        <v>2722773</v>
      </c>
      <c r="C84" t="str">
        <f>"HOLY GHOST SCHOOL"</f>
        <v>HOLY GHOST SCHOOL</v>
      </c>
      <c r="D84" t="s">
        <v>11</v>
      </c>
      <c r="E84" t="s">
        <v>103</v>
      </c>
      <c r="F84" t="s">
        <v>15</v>
      </c>
      <c r="G84">
        <v>77081</v>
      </c>
      <c r="H84">
        <v>2015</v>
      </c>
      <c r="I84" s="1">
        <v>701.89</v>
      </c>
      <c r="J84" s="1">
        <v>779.88</v>
      </c>
      <c r="K84" s="1">
        <v>697.5</v>
      </c>
    </row>
    <row r="85" spans="1:11" x14ac:dyDescent="0.35">
      <c r="A85">
        <v>997097</v>
      </c>
      <c r="B85">
        <v>2719184</v>
      </c>
      <c r="C85" t="str">
        <f>"HOLY ROSARY SCHOOL"</f>
        <v>HOLY ROSARY SCHOOL</v>
      </c>
      <c r="D85" t="s">
        <v>11</v>
      </c>
      <c r="E85" t="s">
        <v>104</v>
      </c>
      <c r="F85" t="s">
        <v>105</v>
      </c>
      <c r="G85">
        <v>77471</v>
      </c>
      <c r="H85">
        <v>2015</v>
      </c>
      <c r="I85" s="1">
        <v>573.9</v>
      </c>
      <c r="J85" s="1">
        <v>1147.8</v>
      </c>
      <c r="K85" s="1">
        <v>573.5</v>
      </c>
    </row>
    <row r="86" spans="1:11" x14ac:dyDescent="0.35">
      <c r="A86">
        <v>1023388</v>
      </c>
      <c r="B86">
        <v>2828584</v>
      </c>
      <c r="C86" t="str">
        <f>"HOLY TRINITY CATHOLIC HIGH SCH"</f>
        <v>HOLY TRINITY CATHOLIC HIGH SCH</v>
      </c>
      <c r="D86" t="s">
        <v>11</v>
      </c>
      <c r="E86" t="s">
        <v>106</v>
      </c>
      <c r="F86" t="s">
        <v>107</v>
      </c>
      <c r="G86">
        <v>76502</v>
      </c>
      <c r="H86">
        <v>2015</v>
      </c>
      <c r="I86" s="1">
        <v>3444.48</v>
      </c>
      <c r="J86" s="1">
        <v>8611.2000000000007</v>
      </c>
      <c r="K86" s="1">
        <v>2921.1</v>
      </c>
    </row>
    <row r="87" spans="1:11" x14ac:dyDescent="0.35">
      <c r="A87">
        <v>1029948</v>
      </c>
      <c r="B87">
        <v>2801590</v>
      </c>
      <c r="C87" t="str">
        <f>"HOLY TRINITY ELEMENTARY SCHOOL"</f>
        <v>HOLY TRINITY ELEMENTARY SCHOOL</v>
      </c>
      <c r="D87" t="s">
        <v>11</v>
      </c>
      <c r="E87" t="s">
        <v>108</v>
      </c>
      <c r="F87" t="s">
        <v>13</v>
      </c>
      <c r="G87">
        <v>75219</v>
      </c>
      <c r="H87">
        <v>2015</v>
      </c>
      <c r="I87" s="1">
        <v>4551.7700000000004</v>
      </c>
      <c r="J87" s="1">
        <v>7586.28</v>
      </c>
      <c r="K87" s="1">
        <v>4551.72</v>
      </c>
    </row>
    <row r="88" spans="1:11" x14ac:dyDescent="0.35">
      <c r="A88">
        <v>1006363</v>
      </c>
      <c r="B88">
        <v>2732902</v>
      </c>
      <c r="C88" t="str">
        <f>"HOLY TRINITY SCHOOL"</f>
        <v>HOLY TRINITY SCHOOL</v>
      </c>
      <c r="D88" t="s">
        <v>11</v>
      </c>
      <c r="E88" t="s">
        <v>109</v>
      </c>
      <c r="F88" t="s">
        <v>51</v>
      </c>
      <c r="G88">
        <v>79924</v>
      </c>
      <c r="H88">
        <v>2015</v>
      </c>
      <c r="I88" s="1">
        <v>1110.24</v>
      </c>
      <c r="J88" s="1">
        <v>1850.4</v>
      </c>
      <c r="K88" s="1">
        <v>298.98</v>
      </c>
    </row>
    <row r="89" spans="1:11" x14ac:dyDescent="0.35">
      <c r="A89">
        <v>1007159</v>
      </c>
      <c r="B89">
        <v>2734621</v>
      </c>
      <c r="C89" t="str">
        <f>"HOUSTON CHRISTIAN HIGH SCHOOL"</f>
        <v>HOUSTON CHRISTIAN HIGH SCHOOL</v>
      </c>
      <c r="D89" t="s">
        <v>11</v>
      </c>
      <c r="E89" t="s">
        <v>110</v>
      </c>
      <c r="F89" t="s">
        <v>15</v>
      </c>
      <c r="G89">
        <v>77043</v>
      </c>
      <c r="H89">
        <v>2015</v>
      </c>
      <c r="I89" s="1">
        <v>0</v>
      </c>
      <c r="J89" s="1">
        <v>0</v>
      </c>
    </row>
    <row r="90" spans="1:11" x14ac:dyDescent="0.35">
      <c r="A90">
        <v>1047369</v>
      </c>
      <c r="B90">
        <v>2863591</v>
      </c>
      <c r="C90" t="str">
        <f>"HOUSTON CHRISTIAN HIGH SCHOOL"</f>
        <v>HOUSTON CHRISTIAN HIGH SCHOOL</v>
      </c>
      <c r="D90" t="s">
        <v>11</v>
      </c>
      <c r="E90" t="s">
        <v>110</v>
      </c>
      <c r="F90" t="s">
        <v>15</v>
      </c>
      <c r="G90">
        <v>77043</v>
      </c>
      <c r="H90">
        <v>2015</v>
      </c>
      <c r="I90" s="1">
        <v>13790.4</v>
      </c>
      <c r="J90" s="1">
        <v>34476</v>
      </c>
      <c r="K90" s="1">
        <v>13790.4</v>
      </c>
    </row>
    <row r="91" spans="1:11" x14ac:dyDescent="0.35">
      <c r="A91">
        <v>1021926</v>
      </c>
      <c r="B91">
        <v>2773209</v>
      </c>
      <c r="C91" t="str">
        <f>"HOUSTON HEIGHTS LEARNING ACADEMY"</f>
        <v>HOUSTON HEIGHTS LEARNING ACADEMY</v>
      </c>
      <c r="D91" t="s">
        <v>11</v>
      </c>
      <c r="E91" t="s">
        <v>111</v>
      </c>
      <c r="F91" t="s">
        <v>15</v>
      </c>
      <c r="G91">
        <v>77007</v>
      </c>
      <c r="H91">
        <v>2015</v>
      </c>
      <c r="I91" s="1">
        <v>1253.1199999999999</v>
      </c>
      <c r="J91" s="1">
        <v>1392.36</v>
      </c>
    </row>
    <row r="92" spans="1:11" x14ac:dyDescent="0.35">
      <c r="A92">
        <v>1018988</v>
      </c>
      <c r="B92">
        <v>2785979</v>
      </c>
      <c r="C92" t="str">
        <f>"IMAGINE INTERNATIONAL ACADEMY OF NORTH TEXAS"</f>
        <v>IMAGINE INTERNATIONAL ACADEMY OF NORTH TEXAS</v>
      </c>
      <c r="D92" t="s">
        <v>11</v>
      </c>
      <c r="E92" t="s">
        <v>112</v>
      </c>
      <c r="F92" t="s">
        <v>113</v>
      </c>
      <c r="G92">
        <v>75071</v>
      </c>
      <c r="H92">
        <v>2015</v>
      </c>
      <c r="I92" s="1">
        <v>5376</v>
      </c>
      <c r="J92" s="1">
        <v>13440</v>
      </c>
      <c r="K92" s="1">
        <v>5324.8</v>
      </c>
    </row>
    <row r="93" spans="1:11" x14ac:dyDescent="0.35">
      <c r="A93">
        <v>1030108</v>
      </c>
      <c r="B93">
        <v>2799585</v>
      </c>
      <c r="C93" t="str">
        <f>"IMMACULATE CONCEPTION SCHOOL"</f>
        <v>IMMACULATE CONCEPTION SCHOOL</v>
      </c>
      <c r="D93" t="s">
        <v>11</v>
      </c>
      <c r="E93" t="s">
        <v>114</v>
      </c>
      <c r="F93" t="s">
        <v>115</v>
      </c>
      <c r="G93">
        <v>75050</v>
      </c>
      <c r="H93">
        <v>2015</v>
      </c>
      <c r="I93" s="1">
        <v>2088.7800000000002</v>
      </c>
      <c r="J93" s="1">
        <v>4177.5600000000004</v>
      </c>
      <c r="K93" s="1">
        <v>2088.7199999999998</v>
      </c>
    </row>
    <row r="94" spans="1:11" x14ac:dyDescent="0.35">
      <c r="A94">
        <v>1026235</v>
      </c>
      <c r="B94">
        <v>2786507</v>
      </c>
      <c r="C94" t="str">
        <f>"INCARNATE WORD ACADEMY SCHOOL"</f>
        <v>INCARNATE WORD ACADEMY SCHOOL</v>
      </c>
      <c r="D94" t="s">
        <v>11</v>
      </c>
      <c r="E94" t="s">
        <v>116</v>
      </c>
      <c r="F94" t="s">
        <v>89</v>
      </c>
      <c r="G94">
        <v>78520</v>
      </c>
      <c r="H94">
        <v>2015</v>
      </c>
      <c r="I94" s="1">
        <v>422.71</v>
      </c>
      <c r="J94" s="1">
        <v>704.52</v>
      </c>
      <c r="K94" s="1">
        <v>229.18</v>
      </c>
    </row>
    <row r="95" spans="1:11" x14ac:dyDescent="0.35">
      <c r="A95">
        <v>1024089</v>
      </c>
      <c r="B95">
        <v>2868756</v>
      </c>
      <c r="C95" t="str">
        <f>"INFINITY PREPARATORY"</f>
        <v>INFINITY PREPARATORY</v>
      </c>
      <c r="D95" t="s">
        <v>11</v>
      </c>
      <c r="E95" t="s">
        <v>117</v>
      </c>
      <c r="F95" t="s">
        <v>97</v>
      </c>
      <c r="G95">
        <v>75060</v>
      </c>
      <c r="H95">
        <v>2015</v>
      </c>
      <c r="I95" s="1">
        <v>30557.18</v>
      </c>
      <c r="J95" s="1">
        <v>38196.480000000003</v>
      </c>
      <c r="K95" s="1">
        <v>30557.16</v>
      </c>
    </row>
    <row r="96" spans="1:11" x14ac:dyDescent="0.35">
      <c r="A96">
        <v>1045017</v>
      </c>
      <c r="B96">
        <v>2868964</v>
      </c>
      <c r="C96" t="str">
        <f>"JAMES L COLLINS CATFH SCHOOL"</f>
        <v>JAMES L COLLINS CATFH SCHOOL</v>
      </c>
      <c r="D96" t="s">
        <v>11</v>
      </c>
      <c r="E96" t="s">
        <v>118</v>
      </c>
      <c r="F96" t="s">
        <v>19</v>
      </c>
      <c r="G96">
        <v>75110</v>
      </c>
      <c r="H96">
        <v>2015</v>
      </c>
      <c r="I96" s="1">
        <v>303.24</v>
      </c>
      <c r="J96" s="1">
        <v>433.2</v>
      </c>
    </row>
    <row r="97" spans="1:11" x14ac:dyDescent="0.35">
      <c r="A97">
        <v>1036465</v>
      </c>
      <c r="B97">
        <v>2821496</v>
      </c>
      <c r="C97" t="str">
        <f>"JEAN MASSIEU ACADEMY"</f>
        <v>JEAN MASSIEU ACADEMY</v>
      </c>
      <c r="D97" t="s">
        <v>11</v>
      </c>
      <c r="E97" t="s">
        <v>119</v>
      </c>
      <c r="F97" t="s">
        <v>120</v>
      </c>
      <c r="G97">
        <v>76011</v>
      </c>
      <c r="H97">
        <v>2015</v>
      </c>
      <c r="I97" s="1">
        <v>5022</v>
      </c>
      <c r="J97" s="1">
        <v>5580</v>
      </c>
      <c r="K97" s="1">
        <v>4579.2</v>
      </c>
    </row>
    <row r="98" spans="1:11" x14ac:dyDescent="0.35">
      <c r="A98">
        <v>1018471</v>
      </c>
      <c r="B98">
        <v>2764496</v>
      </c>
      <c r="C98" t="str">
        <f>"JESUIT COLLEGE PREP SCHOOL"</f>
        <v>JESUIT COLLEGE PREP SCHOOL</v>
      </c>
      <c r="D98" t="s">
        <v>11</v>
      </c>
      <c r="E98" t="s">
        <v>121</v>
      </c>
      <c r="F98" t="s">
        <v>13</v>
      </c>
      <c r="G98">
        <v>75244</v>
      </c>
      <c r="H98">
        <v>2015</v>
      </c>
      <c r="I98" s="1">
        <v>15840</v>
      </c>
      <c r="J98" s="1">
        <v>39600</v>
      </c>
      <c r="K98" s="1">
        <v>14595.22</v>
      </c>
    </row>
    <row r="99" spans="1:11" x14ac:dyDescent="0.35">
      <c r="A99">
        <v>1049270</v>
      </c>
      <c r="B99">
        <v>2868521</v>
      </c>
      <c r="C99" t="str">
        <f>"JOHN PAUL II CATHOLIC HIGH SCHOOL"</f>
        <v>JOHN PAUL II CATHOLIC HIGH SCHOOL</v>
      </c>
      <c r="D99" t="s">
        <v>11</v>
      </c>
      <c r="E99" t="s">
        <v>122</v>
      </c>
      <c r="F99" t="s">
        <v>123</v>
      </c>
      <c r="G99">
        <v>78132</v>
      </c>
      <c r="H99">
        <v>2015</v>
      </c>
      <c r="I99" s="1">
        <v>830.88</v>
      </c>
      <c r="J99" s="1">
        <v>1661.76</v>
      </c>
    </row>
    <row r="100" spans="1:11" x14ac:dyDescent="0.35">
      <c r="A100">
        <v>997114</v>
      </c>
      <c r="B100">
        <v>2719210</v>
      </c>
      <c r="C100" t="str">
        <f>"JOHN PAUL II SCHOOL"</f>
        <v>JOHN PAUL II SCHOOL</v>
      </c>
      <c r="D100" t="s">
        <v>11</v>
      </c>
      <c r="E100" t="s">
        <v>124</v>
      </c>
      <c r="F100" t="s">
        <v>15</v>
      </c>
      <c r="G100">
        <v>77077</v>
      </c>
      <c r="H100">
        <v>2015</v>
      </c>
      <c r="I100" s="1">
        <v>531.70000000000005</v>
      </c>
      <c r="J100" s="1">
        <v>1329.24</v>
      </c>
      <c r="K100" s="1">
        <v>531.6</v>
      </c>
    </row>
    <row r="101" spans="1:11" x14ac:dyDescent="0.35">
      <c r="A101">
        <v>1038508</v>
      </c>
      <c r="B101">
        <v>2828280</v>
      </c>
      <c r="C101" t="str">
        <f>"JOHN PAUL ll HIGH SCHOOL"</f>
        <v>JOHN PAUL ll HIGH SCHOOL</v>
      </c>
      <c r="D101" t="s">
        <v>11</v>
      </c>
      <c r="E101" t="s">
        <v>125</v>
      </c>
      <c r="F101" t="s">
        <v>126</v>
      </c>
      <c r="G101">
        <v>75075</v>
      </c>
      <c r="H101">
        <v>2015</v>
      </c>
      <c r="I101" s="1">
        <v>8640</v>
      </c>
      <c r="J101" s="1">
        <v>21600</v>
      </c>
      <c r="K101" s="1">
        <v>8640</v>
      </c>
    </row>
    <row r="102" spans="1:11" x14ac:dyDescent="0.35">
      <c r="A102">
        <v>1043867</v>
      </c>
      <c r="B102">
        <v>2848628</v>
      </c>
      <c r="C102" t="str">
        <f>"KATHERINE ANNE PORTER SCHOOL"</f>
        <v>KATHERINE ANNE PORTER SCHOOL</v>
      </c>
      <c r="D102" t="s">
        <v>11</v>
      </c>
      <c r="E102" t="s">
        <v>127</v>
      </c>
      <c r="F102" t="s">
        <v>128</v>
      </c>
      <c r="G102">
        <v>78676</v>
      </c>
      <c r="H102">
        <v>2015</v>
      </c>
      <c r="I102" s="1">
        <v>5555.68</v>
      </c>
      <c r="J102" s="1">
        <v>7936.68</v>
      </c>
      <c r="K102" s="1">
        <v>1825.03</v>
      </c>
    </row>
    <row r="103" spans="1:11" x14ac:dyDescent="0.35">
      <c r="A103">
        <v>1021637</v>
      </c>
      <c r="B103">
        <v>2772445</v>
      </c>
      <c r="C103" t="str">
        <f>"LA AMISTAD LOVE &amp; LEARNING ACADEMY"</f>
        <v>LA AMISTAD LOVE &amp; LEARNING ACADEMY</v>
      </c>
      <c r="D103" t="s">
        <v>11</v>
      </c>
      <c r="E103" t="s">
        <v>129</v>
      </c>
      <c r="F103" t="s">
        <v>15</v>
      </c>
      <c r="G103">
        <v>77096</v>
      </c>
      <c r="H103">
        <v>2015</v>
      </c>
      <c r="I103" s="1">
        <v>1080</v>
      </c>
      <c r="J103" s="1">
        <v>1200</v>
      </c>
    </row>
    <row r="104" spans="1:11" x14ac:dyDescent="0.35">
      <c r="A104">
        <v>1020990</v>
      </c>
      <c r="B104">
        <v>2772310</v>
      </c>
      <c r="C104" t="str">
        <f>"LA AMISTAD LOVE &amp; LEARNING ACADEMY"</f>
        <v>LA AMISTAD LOVE &amp; LEARNING ACADEMY</v>
      </c>
      <c r="D104" t="s">
        <v>11</v>
      </c>
      <c r="E104" t="s">
        <v>130</v>
      </c>
      <c r="F104" t="s">
        <v>15</v>
      </c>
      <c r="G104">
        <v>77099</v>
      </c>
      <c r="H104">
        <v>2015</v>
      </c>
      <c r="I104" s="1">
        <v>1080</v>
      </c>
      <c r="J104" s="1">
        <v>1200</v>
      </c>
    </row>
    <row r="105" spans="1:11" x14ac:dyDescent="0.35">
      <c r="A105">
        <v>1023935</v>
      </c>
      <c r="B105">
        <v>2779729</v>
      </c>
      <c r="C105" t="str">
        <f>"LAZBUDDIE  I.S.D"</f>
        <v>LAZBUDDIE  I.S.D</v>
      </c>
      <c r="D105" t="s">
        <v>11</v>
      </c>
      <c r="E105" t="s">
        <v>131</v>
      </c>
      <c r="F105" t="s">
        <v>132</v>
      </c>
      <c r="G105">
        <v>79053</v>
      </c>
      <c r="H105">
        <v>2015</v>
      </c>
      <c r="I105" s="1">
        <v>1920</v>
      </c>
      <c r="J105" s="1">
        <v>2400</v>
      </c>
      <c r="K105" s="1">
        <v>1788.8</v>
      </c>
    </row>
    <row r="106" spans="1:11" x14ac:dyDescent="0.35">
      <c r="A106">
        <v>1047216</v>
      </c>
      <c r="B106">
        <v>2867318</v>
      </c>
      <c r="C106" t="str">
        <f>"LITTLE FLOWER SCHOOL"</f>
        <v>LITTLE FLOWER SCHOOL</v>
      </c>
      <c r="D106" t="s">
        <v>11</v>
      </c>
      <c r="E106" t="s">
        <v>133</v>
      </c>
      <c r="F106" t="s">
        <v>49</v>
      </c>
      <c r="G106">
        <v>78201</v>
      </c>
      <c r="H106">
        <v>2015</v>
      </c>
      <c r="I106" s="1">
        <v>2088</v>
      </c>
      <c r="J106" s="1">
        <v>3480</v>
      </c>
      <c r="K106" s="1">
        <v>2088</v>
      </c>
    </row>
    <row r="107" spans="1:11" x14ac:dyDescent="0.35">
      <c r="A107">
        <v>1036692</v>
      </c>
      <c r="B107">
        <v>2822477</v>
      </c>
      <c r="C107" t="str">
        <f>"LORETTO ACADEMY SCHOOL DISTRICT"</f>
        <v>LORETTO ACADEMY SCHOOL DISTRICT</v>
      </c>
      <c r="D107" t="s">
        <v>11</v>
      </c>
      <c r="E107" t="s">
        <v>134</v>
      </c>
      <c r="F107" t="s">
        <v>51</v>
      </c>
      <c r="G107">
        <v>79903</v>
      </c>
      <c r="H107">
        <v>2015</v>
      </c>
      <c r="I107" s="1">
        <v>6504</v>
      </c>
      <c r="J107" s="1">
        <v>16260</v>
      </c>
      <c r="K107" s="1">
        <v>5868.42</v>
      </c>
    </row>
    <row r="108" spans="1:11" x14ac:dyDescent="0.35">
      <c r="A108">
        <v>1011183</v>
      </c>
      <c r="B108">
        <v>2776980</v>
      </c>
      <c r="C108" t="str">
        <f>"LORETTO ACADEMY SCHOOL DISTRICT"</f>
        <v>LORETTO ACADEMY SCHOOL DISTRICT</v>
      </c>
      <c r="D108" t="s">
        <v>11</v>
      </c>
      <c r="E108" t="s">
        <v>134</v>
      </c>
      <c r="F108" t="s">
        <v>51</v>
      </c>
      <c r="G108">
        <v>79903</v>
      </c>
      <c r="H108">
        <v>2015</v>
      </c>
      <c r="I108" s="1">
        <v>0</v>
      </c>
      <c r="J108" s="1">
        <v>0</v>
      </c>
    </row>
    <row r="109" spans="1:11" x14ac:dyDescent="0.35">
      <c r="A109">
        <v>1024092</v>
      </c>
      <c r="B109">
        <v>2868901</v>
      </c>
      <c r="C109" t="str">
        <f>"LUNA PRIMARY"</f>
        <v>LUNA PRIMARY</v>
      </c>
      <c r="D109" t="s">
        <v>11</v>
      </c>
      <c r="E109" t="s">
        <v>135</v>
      </c>
      <c r="F109" t="s">
        <v>13</v>
      </c>
      <c r="G109">
        <v>75210</v>
      </c>
      <c r="H109">
        <v>2015</v>
      </c>
      <c r="I109" s="1">
        <v>20876.62</v>
      </c>
      <c r="J109" s="1">
        <v>23196.240000000002</v>
      </c>
      <c r="K109" s="1">
        <v>20876.62</v>
      </c>
    </row>
    <row r="110" spans="1:11" x14ac:dyDescent="0.35">
      <c r="A110">
        <v>1024109</v>
      </c>
      <c r="B110">
        <v>2869862</v>
      </c>
      <c r="C110" t="str">
        <f>"LUNA SECONDARY"</f>
        <v>LUNA SECONDARY</v>
      </c>
      <c r="D110" t="s">
        <v>11</v>
      </c>
      <c r="E110" t="s">
        <v>136</v>
      </c>
      <c r="F110" t="s">
        <v>13</v>
      </c>
      <c r="G110">
        <v>75226</v>
      </c>
      <c r="H110">
        <v>2015</v>
      </c>
      <c r="I110" s="1">
        <v>21005.18</v>
      </c>
      <c r="J110" s="1">
        <v>26256.48</v>
      </c>
      <c r="K110" s="1">
        <v>21005.16</v>
      </c>
    </row>
    <row r="111" spans="1:11" x14ac:dyDescent="0.35">
      <c r="A111">
        <v>1019149</v>
      </c>
      <c r="B111">
        <v>2839885</v>
      </c>
      <c r="C111" t="str">
        <f>"MARIAN HIGH SCHOOL"</f>
        <v>MARIAN HIGH SCHOOL</v>
      </c>
      <c r="D111" t="s">
        <v>11</v>
      </c>
      <c r="E111" t="s">
        <v>137</v>
      </c>
      <c r="F111" t="s">
        <v>15</v>
      </c>
      <c r="G111">
        <v>77036</v>
      </c>
      <c r="H111">
        <v>2015</v>
      </c>
      <c r="I111" s="1">
        <v>0</v>
      </c>
      <c r="J111" s="1">
        <v>0</v>
      </c>
    </row>
    <row r="112" spans="1:11" x14ac:dyDescent="0.35">
      <c r="A112">
        <v>998504</v>
      </c>
      <c r="B112">
        <v>2720801</v>
      </c>
      <c r="C112" t="str">
        <f>"MARY HELP OF CHRISTIAN SCHOOL"</f>
        <v>MARY HELP OF CHRISTIAN SCHOOL</v>
      </c>
      <c r="D112" t="s">
        <v>11</v>
      </c>
      <c r="E112" t="s">
        <v>138</v>
      </c>
      <c r="F112" t="s">
        <v>139</v>
      </c>
      <c r="G112">
        <v>78045</v>
      </c>
      <c r="H112">
        <v>2015</v>
      </c>
      <c r="I112" s="1">
        <v>1920.82</v>
      </c>
      <c r="J112" s="1">
        <v>4802.04</v>
      </c>
      <c r="K112" s="1">
        <v>1900</v>
      </c>
    </row>
    <row r="113" spans="1:11" x14ac:dyDescent="0.35">
      <c r="A113">
        <v>1030184</v>
      </c>
      <c r="B113">
        <v>2799865</v>
      </c>
      <c r="C113" t="str">
        <f>"MARY IMMACULATE SCHOOL"</f>
        <v>MARY IMMACULATE SCHOOL</v>
      </c>
      <c r="D113" t="s">
        <v>11</v>
      </c>
      <c r="E113" t="s">
        <v>140</v>
      </c>
      <c r="F113" t="s">
        <v>13</v>
      </c>
      <c r="G113">
        <v>75234</v>
      </c>
      <c r="H113">
        <v>2015</v>
      </c>
      <c r="I113" s="1">
        <v>1769.86</v>
      </c>
      <c r="J113" s="1">
        <v>4424.6400000000003</v>
      </c>
      <c r="K113" s="1">
        <v>1627.62</v>
      </c>
    </row>
    <row r="114" spans="1:11" x14ac:dyDescent="0.35">
      <c r="A114">
        <v>1018991</v>
      </c>
      <c r="B114">
        <v>2806410</v>
      </c>
      <c r="C114" t="str">
        <f>"MCKINNEY CHRISTIAN ACADEMY"</f>
        <v>MCKINNEY CHRISTIAN ACADEMY</v>
      </c>
      <c r="D114" t="s">
        <v>11</v>
      </c>
      <c r="E114" t="s">
        <v>141</v>
      </c>
      <c r="F114" t="s">
        <v>113</v>
      </c>
      <c r="G114">
        <v>75071</v>
      </c>
      <c r="H114">
        <v>2015</v>
      </c>
      <c r="I114" s="1">
        <v>6768</v>
      </c>
      <c r="J114" s="1">
        <v>16920</v>
      </c>
      <c r="K114" s="1">
        <v>6204</v>
      </c>
    </row>
    <row r="115" spans="1:11" x14ac:dyDescent="0.35">
      <c r="A115">
        <v>1024113</v>
      </c>
      <c r="B115">
        <v>2870039</v>
      </c>
      <c r="C115" t="str">
        <f>"MERIDIAN PREPARATORY"</f>
        <v>MERIDIAN PREPARATORY</v>
      </c>
      <c r="D115" t="s">
        <v>11</v>
      </c>
      <c r="E115" t="s">
        <v>142</v>
      </c>
      <c r="F115" t="s">
        <v>143</v>
      </c>
      <c r="G115">
        <v>76105</v>
      </c>
      <c r="H115">
        <v>2015</v>
      </c>
      <c r="I115" s="1">
        <v>26976.560000000001</v>
      </c>
      <c r="J115" s="1">
        <v>29973.96</v>
      </c>
      <c r="K115" s="1">
        <v>26976.560000000001</v>
      </c>
    </row>
    <row r="116" spans="1:11" x14ac:dyDescent="0.35">
      <c r="A116">
        <v>1021707</v>
      </c>
      <c r="B116">
        <v>2772633</v>
      </c>
      <c r="C116" t="str">
        <f>"MEYER PARK ELEMENTARY"</f>
        <v>MEYER PARK ELEMENTARY</v>
      </c>
      <c r="D116" t="s">
        <v>11</v>
      </c>
      <c r="E116" t="s">
        <v>144</v>
      </c>
      <c r="F116" t="s">
        <v>15</v>
      </c>
      <c r="G116">
        <v>77035</v>
      </c>
      <c r="H116">
        <v>2015</v>
      </c>
      <c r="I116" s="1">
        <v>3511.08</v>
      </c>
      <c r="J116" s="1">
        <v>3901.2</v>
      </c>
    </row>
    <row r="117" spans="1:11" x14ac:dyDescent="0.35">
      <c r="A117">
        <v>1024122</v>
      </c>
      <c r="B117">
        <v>2870174</v>
      </c>
      <c r="C117" t="str">
        <f>"MIGHTY PREPARATORY"</f>
        <v>MIGHTY PREPARATORY</v>
      </c>
      <c r="D117" t="s">
        <v>11</v>
      </c>
      <c r="E117" t="s">
        <v>145</v>
      </c>
      <c r="F117" t="s">
        <v>143</v>
      </c>
      <c r="G117">
        <v>76119</v>
      </c>
      <c r="H117">
        <v>2015</v>
      </c>
      <c r="I117" s="1">
        <v>31043.52</v>
      </c>
      <c r="J117" s="1">
        <v>34492.800000000003</v>
      </c>
      <c r="K117" s="1">
        <v>31043.52</v>
      </c>
    </row>
    <row r="118" spans="1:11" x14ac:dyDescent="0.35">
      <c r="A118">
        <v>1034751</v>
      </c>
      <c r="B118">
        <v>2815560</v>
      </c>
      <c r="C118" t="str">
        <f>"MOUNT ST. MICHAEL CATHOLIC SCHOOL"</f>
        <v>MOUNT ST. MICHAEL CATHOLIC SCHOOL</v>
      </c>
      <c r="D118" t="s">
        <v>11</v>
      </c>
      <c r="E118" t="s">
        <v>146</v>
      </c>
      <c r="F118" t="s">
        <v>13</v>
      </c>
      <c r="G118">
        <v>75211</v>
      </c>
      <c r="H118">
        <v>2015</v>
      </c>
      <c r="I118" s="1">
        <v>2032.8</v>
      </c>
      <c r="J118" s="1">
        <v>4065.6</v>
      </c>
      <c r="K118" s="1">
        <v>2032.8</v>
      </c>
    </row>
    <row r="119" spans="1:11" x14ac:dyDescent="0.35">
      <c r="A119">
        <v>1039362</v>
      </c>
      <c r="B119">
        <v>2851383</v>
      </c>
      <c r="C119" t="str">
        <f>"MSGR KELLY CATHOLIC HIGH SCH"</f>
        <v>MSGR KELLY CATHOLIC HIGH SCH</v>
      </c>
      <c r="D119" t="s">
        <v>11</v>
      </c>
      <c r="E119" t="s">
        <v>147</v>
      </c>
      <c r="F119" t="s">
        <v>148</v>
      </c>
      <c r="G119">
        <v>77707</v>
      </c>
      <c r="H119">
        <v>2015</v>
      </c>
      <c r="I119" s="1">
        <v>4416</v>
      </c>
      <c r="J119" s="1">
        <v>11040</v>
      </c>
      <c r="K119" s="1">
        <v>2805</v>
      </c>
    </row>
    <row r="120" spans="1:11" x14ac:dyDescent="0.35">
      <c r="A120">
        <v>1039362</v>
      </c>
      <c r="B120">
        <v>2837078</v>
      </c>
      <c r="C120" t="str">
        <f>"MSGR KELLY CATHOLIC HIGH SCH"</f>
        <v>MSGR KELLY CATHOLIC HIGH SCH</v>
      </c>
      <c r="D120" t="s">
        <v>11</v>
      </c>
      <c r="E120" t="s">
        <v>147</v>
      </c>
      <c r="F120" t="s">
        <v>148</v>
      </c>
      <c r="G120">
        <v>77707</v>
      </c>
      <c r="H120">
        <v>2015</v>
      </c>
      <c r="I120" s="1">
        <v>3436.8</v>
      </c>
      <c r="J120" s="1">
        <v>8592</v>
      </c>
      <c r="K120" s="1">
        <v>3436.8</v>
      </c>
    </row>
    <row r="121" spans="1:11" x14ac:dyDescent="0.35">
      <c r="A121">
        <v>1047291</v>
      </c>
      <c r="B121">
        <v>2867982</v>
      </c>
      <c r="C121" t="str">
        <f>"MT SACRED HEART SCHOOL"</f>
        <v>MT SACRED HEART SCHOOL</v>
      </c>
      <c r="D121" t="s">
        <v>11</v>
      </c>
      <c r="E121" t="s">
        <v>149</v>
      </c>
      <c r="F121" t="s">
        <v>49</v>
      </c>
      <c r="G121">
        <v>78216</v>
      </c>
      <c r="H121">
        <v>2015</v>
      </c>
      <c r="I121" s="1">
        <v>1689.6</v>
      </c>
      <c r="J121" s="1">
        <v>4224</v>
      </c>
      <c r="K121" s="1">
        <v>1687.76</v>
      </c>
    </row>
    <row r="122" spans="1:11" x14ac:dyDescent="0.35">
      <c r="A122">
        <v>1024124</v>
      </c>
      <c r="B122">
        <v>2870289</v>
      </c>
      <c r="C122" t="str">
        <f>"NORTH HILLS SCHOOL"</f>
        <v>NORTH HILLS SCHOOL</v>
      </c>
      <c r="D122" t="s">
        <v>11</v>
      </c>
      <c r="E122" t="s">
        <v>150</v>
      </c>
      <c r="F122" t="s">
        <v>13</v>
      </c>
      <c r="G122">
        <v>75039</v>
      </c>
      <c r="H122">
        <v>2015</v>
      </c>
      <c r="I122" s="1">
        <v>0</v>
      </c>
      <c r="J122" s="1">
        <v>31968</v>
      </c>
      <c r="K122" s="1">
        <v>0</v>
      </c>
    </row>
    <row r="123" spans="1:11" x14ac:dyDescent="0.35">
      <c r="A123">
        <v>997146</v>
      </c>
      <c r="B123">
        <v>2719233</v>
      </c>
      <c r="C123" t="str">
        <f>"NORTHWOODS CATHOLIC SCHOOL"</f>
        <v>NORTHWOODS CATHOLIC SCHOOL</v>
      </c>
      <c r="D123" t="s">
        <v>11</v>
      </c>
      <c r="E123" t="s">
        <v>151</v>
      </c>
      <c r="F123" t="s">
        <v>152</v>
      </c>
      <c r="G123">
        <v>77388</v>
      </c>
      <c r="H123">
        <v>2015</v>
      </c>
      <c r="I123" s="1">
        <v>1018.66</v>
      </c>
      <c r="J123" s="1">
        <v>5093.28</v>
      </c>
    </row>
    <row r="124" spans="1:11" x14ac:dyDescent="0.35">
      <c r="A124">
        <v>1030513</v>
      </c>
      <c r="B124">
        <v>2801319</v>
      </c>
      <c r="C124" t="str">
        <f>"NOTRE DAME OF DALLAS SCHOOL"</f>
        <v>NOTRE DAME OF DALLAS SCHOOL</v>
      </c>
      <c r="D124" t="s">
        <v>11</v>
      </c>
      <c r="E124" t="s">
        <v>153</v>
      </c>
      <c r="F124" t="s">
        <v>13</v>
      </c>
      <c r="G124">
        <v>75204</v>
      </c>
      <c r="H124">
        <v>2015</v>
      </c>
      <c r="I124" s="1">
        <v>2638.94</v>
      </c>
      <c r="J124" s="1">
        <v>4398.24</v>
      </c>
      <c r="K124" s="1">
        <v>2638.92</v>
      </c>
    </row>
    <row r="125" spans="1:11" x14ac:dyDescent="0.35">
      <c r="A125">
        <v>1034287</v>
      </c>
      <c r="B125">
        <v>2854486</v>
      </c>
      <c r="C125" t="str">
        <f>"NOTRE DAME SCHOOL"</f>
        <v>NOTRE DAME SCHOOL</v>
      </c>
      <c r="D125" t="s">
        <v>11</v>
      </c>
      <c r="E125" t="s">
        <v>154</v>
      </c>
      <c r="F125" t="s">
        <v>42</v>
      </c>
      <c r="G125">
        <v>76309</v>
      </c>
      <c r="H125">
        <v>2015</v>
      </c>
      <c r="I125" s="1">
        <v>2880</v>
      </c>
      <c r="J125" s="1">
        <v>7200</v>
      </c>
    </row>
    <row r="126" spans="1:11" x14ac:dyDescent="0.35">
      <c r="A126">
        <v>1025746</v>
      </c>
      <c r="B126">
        <v>2865437</v>
      </c>
      <c r="C126" t="str">
        <f>"NOTRE DAME SCHOOL"</f>
        <v>NOTRE DAME SCHOOL</v>
      </c>
      <c r="D126" t="s">
        <v>11</v>
      </c>
      <c r="E126" t="s">
        <v>155</v>
      </c>
      <c r="F126" t="s">
        <v>156</v>
      </c>
      <c r="G126">
        <v>78028</v>
      </c>
      <c r="H126">
        <v>2015</v>
      </c>
      <c r="I126" s="1">
        <v>1482.84</v>
      </c>
      <c r="J126" s="1">
        <v>2471.4</v>
      </c>
      <c r="K126" s="1">
        <v>1245.48</v>
      </c>
    </row>
    <row r="127" spans="1:11" x14ac:dyDescent="0.35">
      <c r="A127">
        <v>1034287</v>
      </c>
      <c r="B127">
        <v>2814678</v>
      </c>
      <c r="C127" t="str">
        <f>"NOTRE DAME SCHOOL"</f>
        <v>NOTRE DAME SCHOOL</v>
      </c>
      <c r="D127" t="s">
        <v>11</v>
      </c>
      <c r="E127" t="s">
        <v>154</v>
      </c>
      <c r="F127" t="s">
        <v>42</v>
      </c>
      <c r="G127">
        <v>76309</v>
      </c>
      <c r="H127">
        <v>2015</v>
      </c>
      <c r="I127" s="1">
        <v>3316.32</v>
      </c>
      <c r="J127" s="1">
        <v>8290.7999999999993</v>
      </c>
    </row>
    <row r="128" spans="1:11" x14ac:dyDescent="0.35">
      <c r="A128">
        <v>1014206</v>
      </c>
      <c r="B128">
        <v>2752247</v>
      </c>
      <c r="C128" t="str">
        <f>"NYOS CHARTER SCHOOL"</f>
        <v>NYOS CHARTER SCHOOL</v>
      </c>
      <c r="D128" t="s">
        <v>11</v>
      </c>
      <c r="E128" t="s">
        <v>157</v>
      </c>
      <c r="F128" t="s">
        <v>33</v>
      </c>
      <c r="G128">
        <v>78753</v>
      </c>
      <c r="H128">
        <v>2015</v>
      </c>
      <c r="I128" s="1">
        <v>3039.48</v>
      </c>
      <c r="J128" s="1">
        <v>5065.8</v>
      </c>
      <c r="K128" s="1">
        <v>2571.84</v>
      </c>
    </row>
    <row r="129" spans="1:11" x14ac:dyDescent="0.35">
      <c r="A129">
        <v>1016776</v>
      </c>
      <c r="B129">
        <v>2759791</v>
      </c>
      <c r="C129" t="str">
        <f>"NYOS CHARTER SCHOOL INC. MAGNOLIA MCCULLOUGH CAMPUS"</f>
        <v>NYOS CHARTER SCHOOL INC. MAGNOLIA MCCULLOUGH CAMPUS</v>
      </c>
      <c r="D129" t="s">
        <v>11</v>
      </c>
      <c r="E129" t="s">
        <v>158</v>
      </c>
      <c r="F129" t="s">
        <v>33</v>
      </c>
      <c r="G129">
        <v>78758</v>
      </c>
      <c r="H129">
        <v>2015</v>
      </c>
      <c r="I129" s="1">
        <v>2931.48</v>
      </c>
      <c r="J129" s="1">
        <v>4885.8</v>
      </c>
      <c r="K129" s="1">
        <v>2499.84</v>
      </c>
    </row>
    <row r="130" spans="1:11" x14ac:dyDescent="0.35">
      <c r="A130">
        <v>1048655</v>
      </c>
      <c r="B130">
        <v>2863540</v>
      </c>
      <c r="C130" t="str">
        <f>"ODYSSEY ACADEMY"</f>
        <v>ODYSSEY ACADEMY</v>
      </c>
      <c r="D130" t="s">
        <v>11</v>
      </c>
      <c r="E130" t="s">
        <v>159</v>
      </c>
      <c r="F130" t="s">
        <v>24</v>
      </c>
      <c r="G130">
        <v>77551</v>
      </c>
      <c r="H130">
        <v>2015</v>
      </c>
      <c r="I130" s="1">
        <v>14439.6</v>
      </c>
      <c r="J130" s="1">
        <v>16044</v>
      </c>
      <c r="K130" s="1">
        <v>9626.4</v>
      </c>
    </row>
    <row r="131" spans="1:11" x14ac:dyDescent="0.35">
      <c r="A131">
        <v>997196</v>
      </c>
      <c r="B131">
        <v>2719261</v>
      </c>
      <c r="C131" t="str">
        <f>"OUR LADY OF FATIMA SCHOOL-GALENA PARK"</f>
        <v>OUR LADY OF FATIMA SCHOOL-GALENA PARK</v>
      </c>
      <c r="D131" t="s">
        <v>11</v>
      </c>
      <c r="E131" t="s">
        <v>160</v>
      </c>
      <c r="F131" t="s">
        <v>161</v>
      </c>
      <c r="G131">
        <v>77547</v>
      </c>
      <c r="H131">
        <v>2015</v>
      </c>
      <c r="I131" s="1">
        <v>746.1</v>
      </c>
      <c r="J131" s="1">
        <v>1492.2</v>
      </c>
      <c r="K131" s="1">
        <v>745.5</v>
      </c>
    </row>
    <row r="132" spans="1:11" x14ac:dyDescent="0.35">
      <c r="A132">
        <v>997197</v>
      </c>
      <c r="B132">
        <v>2719264</v>
      </c>
      <c r="C132" t="str">
        <f>"OUR LADY OF GUADALUPE SCHOOL"</f>
        <v>OUR LADY OF GUADALUPE SCHOOL</v>
      </c>
      <c r="D132" t="s">
        <v>11</v>
      </c>
      <c r="E132" t="s">
        <v>162</v>
      </c>
      <c r="F132" t="s">
        <v>15</v>
      </c>
      <c r="G132">
        <v>77003</v>
      </c>
      <c r="H132">
        <v>2015</v>
      </c>
      <c r="I132" s="1">
        <v>1545.5</v>
      </c>
      <c r="J132" s="1">
        <v>1931.88</v>
      </c>
      <c r="K132" s="1">
        <v>1544</v>
      </c>
    </row>
    <row r="133" spans="1:11" x14ac:dyDescent="0.35">
      <c r="A133">
        <v>997222</v>
      </c>
      <c r="B133">
        <v>2719327</v>
      </c>
      <c r="C133" t="str">
        <f>"OUR LADY OF MT. CARMEL SCHOOL"</f>
        <v>OUR LADY OF MT. CARMEL SCHOOL</v>
      </c>
      <c r="D133" t="s">
        <v>11</v>
      </c>
      <c r="E133" t="s">
        <v>163</v>
      </c>
      <c r="F133" t="s">
        <v>15</v>
      </c>
      <c r="G133">
        <v>77087</v>
      </c>
      <c r="H133">
        <v>2015</v>
      </c>
      <c r="I133" s="1">
        <v>1087.3399999999999</v>
      </c>
      <c r="J133" s="1">
        <v>1208.1600000000001</v>
      </c>
      <c r="K133" s="1">
        <v>1042.2</v>
      </c>
    </row>
    <row r="134" spans="1:11" x14ac:dyDescent="0.35">
      <c r="A134">
        <v>1011857</v>
      </c>
      <c r="B134">
        <v>2778481</v>
      </c>
      <c r="C134" t="str">
        <f>"OUR LADY OF THE VALLEY SCHOOL"</f>
        <v>OUR LADY OF THE VALLEY SCHOOL</v>
      </c>
      <c r="D134" t="s">
        <v>11</v>
      </c>
      <c r="E134" t="s">
        <v>164</v>
      </c>
      <c r="F134" t="s">
        <v>51</v>
      </c>
      <c r="G134">
        <v>79907</v>
      </c>
      <c r="H134">
        <v>2015</v>
      </c>
      <c r="I134" s="1">
        <v>1130.78</v>
      </c>
      <c r="J134" s="1">
        <v>1413.48</v>
      </c>
      <c r="K134" s="1">
        <v>1128.3699999999999</v>
      </c>
    </row>
    <row r="135" spans="1:11" x14ac:dyDescent="0.35">
      <c r="A135">
        <v>998971</v>
      </c>
      <c r="B135">
        <v>2721413</v>
      </c>
      <c r="C135" t="str">
        <f>"OUR LADY OF VICTORY SCHOOL"</f>
        <v>OUR LADY OF VICTORY SCHOOL</v>
      </c>
      <c r="D135" t="s">
        <v>11</v>
      </c>
      <c r="E135" t="s">
        <v>165</v>
      </c>
      <c r="F135" t="s">
        <v>166</v>
      </c>
      <c r="G135">
        <v>77901</v>
      </c>
      <c r="H135">
        <v>2015</v>
      </c>
      <c r="I135" s="1">
        <v>1354.9</v>
      </c>
      <c r="J135" s="1">
        <v>3387.24</v>
      </c>
      <c r="K135" s="1">
        <v>1354.9</v>
      </c>
    </row>
    <row r="136" spans="1:11" x14ac:dyDescent="0.35">
      <c r="A136">
        <v>1049920</v>
      </c>
      <c r="B136">
        <v>2867294</v>
      </c>
      <c r="C136" t="str">
        <f>"OUR LADY PERPETUAL HELP SCHOOL"</f>
        <v>OUR LADY PERPETUAL HELP SCHOOL</v>
      </c>
      <c r="D136" t="s">
        <v>11</v>
      </c>
      <c r="E136" t="s">
        <v>167</v>
      </c>
      <c r="F136" t="s">
        <v>13</v>
      </c>
      <c r="G136">
        <v>75235</v>
      </c>
      <c r="H136">
        <v>2015</v>
      </c>
      <c r="I136" s="1">
        <v>22667.040000000001</v>
      </c>
      <c r="J136" s="1">
        <v>25185.599999999999</v>
      </c>
      <c r="K136" s="1">
        <v>16385.91</v>
      </c>
    </row>
    <row r="137" spans="1:11" x14ac:dyDescent="0.35">
      <c r="A137">
        <v>997233</v>
      </c>
      <c r="B137">
        <v>2719342</v>
      </c>
      <c r="C137" t="str">
        <f>"OUR LADY QUEEN OF PEACE"</f>
        <v>OUR LADY QUEEN OF PEACE</v>
      </c>
      <c r="D137" t="s">
        <v>11</v>
      </c>
      <c r="E137" t="s">
        <v>168</v>
      </c>
      <c r="F137" t="s">
        <v>169</v>
      </c>
      <c r="G137">
        <v>77531</v>
      </c>
      <c r="H137">
        <v>2015</v>
      </c>
      <c r="I137" s="1">
        <v>680.93</v>
      </c>
      <c r="J137" s="1">
        <v>1702.32</v>
      </c>
      <c r="K137" s="1">
        <v>680</v>
      </c>
    </row>
    <row r="138" spans="1:11" x14ac:dyDescent="0.35">
      <c r="A138">
        <v>1010908</v>
      </c>
      <c r="B138">
        <v>2819144</v>
      </c>
      <c r="C138" t="str">
        <f>"PALO PINTO ELEMENTARY SCHOOL"</f>
        <v>PALO PINTO ELEMENTARY SCHOOL</v>
      </c>
      <c r="D138" t="s">
        <v>11</v>
      </c>
      <c r="E138" t="s">
        <v>170</v>
      </c>
      <c r="F138" t="s">
        <v>171</v>
      </c>
      <c r="G138">
        <v>76484</v>
      </c>
      <c r="H138">
        <v>2015</v>
      </c>
      <c r="I138" s="1">
        <v>6240</v>
      </c>
      <c r="J138" s="1">
        <v>7800</v>
      </c>
      <c r="K138" s="1">
        <v>6240</v>
      </c>
    </row>
    <row r="139" spans="1:11" x14ac:dyDescent="0.35">
      <c r="A139">
        <v>1024128</v>
      </c>
      <c r="B139">
        <v>2871805</v>
      </c>
      <c r="C139" t="str">
        <f>"PEAK ACADEMY"</f>
        <v>PEAK ACADEMY</v>
      </c>
      <c r="D139" t="s">
        <v>11</v>
      </c>
      <c r="E139" t="s">
        <v>172</v>
      </c>
      <c r="F139" t="s">
        <v>13</v>
      </c>
      <c r="G139">
        <v>75204</v>
      </c>
      <c r="H139">
        <v>2015</v>
      </c>
      <c r="I139" s="1">
        <v>28771.200000000001</v>
      </c>
      <c r="J139" s="1">
        <v>31968</v>
      </c>
      <c r="K139" s="1">
        <v>28771.200000000001</v>
      </c>
    </row>
    <row r="140" spans="1:11" x14ac:dyDescent="0.35">
      <c r="A140">
        <v>1045096</v>
      </c>
      <c r="B140">
        <v>2855706</v>
      </c>
      <c r="C140" t="str">
        <f>"PEGASUS CHARTER SCHOOL ADMIN BLDG."</f>
        <v>PEGASUS CHARTER SCHOOL ADMIN BLDG.</v>
      </c>
      <c r="D140" t="s">
        <v>11</v>
      </c>
      <c r="E140" t="s">
        <v>173</v>
      </c>
      <c r="F140" t="s">
        <v>13</v>
      </c>
      <c r="G140">
        <v>75226</v>
      </c>
      <c r="H140">
        <v>2015</v>
      </c>
      <c r="I140" s="1">
        <v>45935.1</v>
      </c>
      <c r="J140" s="1">
        <v>51039</v>
      </c>
      <c r="K140" s="1">
        <v>2334.38</v>
      </c>
    </row>
    <row r="141" spans="1:11" x14ac:dyDescent="0.35">
      <c r="A141">
        <v>1051195</v>
      </c>
      <c r="B141">
        <v>2871900</v>
      </c>
      <c r="C141" t="str">
        <f>"PEP HIGH SCHOOL"</f>
        <v>PEP HIGH SCHOOL</v>
      </c>
      <c r="D141" t="s">
        <v>11</v>
      </c>
      <c r="E141" t="s">
        <v>174</v>
      </c>
      <c r="F141" t="s">
        <v>175</v>
      </c>
      <c r="G141">
        <v>79353</v>
      </c>
      <c r="H141">
        <v>2015</v>
      </c>
      <c r="I141" s="1">
        <v>0</v>
      </c>
      <c r="J141" s="1">
        <v>0</v>
      </c>
    </row>
    <row r="142" spans="1:11" x14ac:dyDescent="0.35">
      <c r="A142">
        <v>1031296</v>
      </c>
      <c r="B142">
        <v>2804103</v>
      </c>
      <c r="C142" t="str">
        <f>"PINEYWOODS COMMUNITY ACADEMY"</f>
        <v>PINEYWOODS COMMUNITY ACADEMY</v>
      </c>
      <c r="D142" t="s">
        <v>11</v>
      </c>
      <c r="E142" t="s">
        <v>176</v>
      </c>
      <c r="F142" t="s">
        <v>177</v>
      </c>
      <c r="G142">
        <v>75904</v>
      </c>
      <c r="H142">
        <v>2015</v>
      </c>
      <c r="I142" s="1">
        <v>18267.009999999998</v>
      </c>
      <c r="J142" s="1">
        <v>22833.84</v>
      </c>
      <c r="K142" s="1">
        <v>16440.310000000001</v>
      </c>
    </row>
    <row r="143" spans="1:11" x14ac:dyDescent="0.35">
      <c r="A143">
        <v>1024131</v>
      </c>
      <c r="B143">
        <v>2870356</v>
      </c>
      <c r="C143" t="str">
        <f>"PINNACLE PREPARATORY"</f>
        <v>PINNACLE PREPARATORY</v>
      </c>
      <c r="D143" t="s">
        <v>11</v>
      </c>
      <c r="E143" t="s">
        <v>178</v>
      </c>
      <c r="F143" t="s">
        <v>13</v>
      </c>
      <c r="G143">
        <v>75224</v>
      </c>
      <c r="H143">
        <v>2015</v>
      </c>
      <c r="I143" s="1">
        <v>18585.939999999999</v>
      </c>
      <c r="J143" s="1">
        <v>20651.04</v>
      </c>
      <c r="K143" s="1">
        <v>8919.94</v>
      </c>
    </row>
    <row r="144" spans="1:11" x14ac:dyDescent="0.35">
      <c r="A144">
        <v>1029148</v>
      </c>
      <c r="B144">
        <v>2820119</v>
      </c>
      <c r="C144" t="str">
        <f>"PRINCE OF PEACE CATHOLIC SCH"</f>
        <v>PRINCE OF PEACE CATHOLIC SCH</v>
      </c>
      <c r="D144" t="s">
        <v>11</v>
      </c>
      <c r="E144" t="s">
        <v>179</v>
      </c>
      <c r="F144" t="s">
        <v>126</v>
      </c>
      <c r="G144">
        <v>75093</v>
      </c>
      <c r="H144">
        <v>2015</v>
      </c>
      <c r="I144" s="1">
        <v>7922.16</v>
      </c>
      <c r="J144" s="1">
        <v>19805.400000000001</v>
      </c>
      <c r="K144" s="1">
        <v>7922.16</v>
      </c>
    </row>
    <row r="145" spans="1:11" x14ac:dyDescent="0.35">
      <c r="A145">
        <v>1023799</v>
      </c>
      <c r="B145">
        <v>2781219</v>
      </c>
      <c r="C145" t="str">
        <f>"PRINCE OF PEACE CHRISTIAN SCHOOL"</f>
        <v>PRINCE OF PEACE CHRISTIAN SCHOOL</v>
      </c>
      <c r="D145" t="s">
        <v>11</v>
      </c>
      <c r="E145" t="s">
        <v>180</v>
      </c>
      <c r="F145" t="s">
        <v>181</v>
      </c>
      <c r="G145">
        <v>75007</v>
      </c>
      <c r="H145">
        <v>2015</v>
      </c>
      <c r="I145" s="1">
        <v>4607.16</v>
      </c>
      <c r="J145" s="1">
        <v>23035.8</v>
      </c>
      <c r="K145" s="1">
        <v>4607.16</v>
      </c>
    </row>
    <row r="146" spans="1:11" x14ac:dyDescent="0.35">
      <c r="A146">
        <v>1022062</v>
      </c>
      <c r="B146">
        <v>2773603</v>
      </c>
      <c r="C146" t="str">
        <f>"PRO-VISION EDUCATIONAL SERVICES, INC."</f>
        <v>PRO-VISION EDUCATIONAL SERVICES, INC.</v>
      </c>
      <c r="D146" t="s">
        <v>11</v>
      </c>
      <c r="E146" t="s">
        <v>182</v>
      </c>
      <c r="F146" t="s">
        <v>15</v>
      </c>
      <c r="G146">
        <v>77051</v>
      </c>
      <c r="H146">
        <v>2015</v>
      </c>
      <c r="I146" s="1">
        <v>2080.84</v>
      </c>
      <c r="J146" s="1">
        <v>2312.04</v>
      </c>
    </row>
    <row r="147" spans="1:11" x14ac:dyDescent="0.35">
      <c r="A147">
        <v>1022062</v>
      </c>
      <c r="B147">
        <v>2773547</v>
      </c>
      <c r="C147" t="str">
        <f>"PRO-VISION EDUCATIONAL SERVICES, INC."</f>
        <v>PRO-VISION EDUCATIONAL SERVICES, INC.</v>
      </c>
      <c r="D147" t="s">
        <v>11</v>
      </c>
      <c r="E147" t="s">
        <v>182</v>
      </c>
      <c r="F147" t="s">
        <v>15</v>
      </c>
      <c r="G147">
        <v>77051</v>
      </c>
      <c r="H147">
        <v>2015</v>
      </c>
      <c r="I147" s="1">
        <v>3402.76</v>
      </c>
      <c r="J147" s="1">
        <v>3780.84</v>
      </c>
      <c r="K147" s="1">
        <v>3115.76</v>
      </c>
    </row>
    <row r="148" spans="1:11" x14ac:dyDescent="0.35">
      <c r="A148">
        <v>1025800</v>
      </c>
      <c r="B148">
        <v>2867763</v>
      </c>
      <c r="C148" t="str">
        <f>"PROVIDENCE HIGH SCHOOL"</f>
        <v>PROVIDENCE HIGH SCHOOL</v>
      </c>
      <c r="D148" t="s">
        <v>11</v>
      </c>
      <c r="E148" t="s">
        <v>183</v>
      </c>
      <c r="F148" t="s">
        <v>49</v>
      </c>
      <c r="G148">
        <v>78215</v>
      </c>
      <c r="H148">
        <v>2015</v>
      </c>
      <c r="I148" s="1">
        <v>618</v>
      </c>
      <c r="J148" s="1">
        <v>1545</v>
      </c>
      <c r="K148" s="1">
        <v>617.80999999999995</v>
      </c>
    </row>
    <row r="149" spans="1:11" x14ac:dyDescent="0.35">
      <c r="A149">
        <v>997237</v>
      </c>
      <c r="B149">
        <v>2719353</v>
      </c>
      <c r="C149" t="str">
        <f>"QUEEN OF PEACE SCHOOL"</f>
        <v>QUEEN OF PEACE SCHOOL</v>
      </c>
      <c r="D149" t="s">
        <v>11</v>
      </c>
      <c r="E149" t="s">
        <v>184</v>
      </c>
      <c r="F149" t="s">
        <v>15</v>
      </c>
      <c r="G149">
        <v>77023</v>
      </c>
      <c r="H149">
        <v>2015</v>
      </c>
      <c r="I149" s="1">
        <v>1481.54</v>
      </c>
      <c r="J149" s="1">
        <v>2469.2399999999998</v>
      </c>
      <c r="K149" s="1">
        <v>1479</v>
      </c>
    </row>
    <row r="150" spans="1:11" x14ac:dyDescent="0.35">
      <c r="A150">
        <v>997251</v>
      </c>
      <c r="B150">
        <v>2719379</v>
      </c>
      <c r="C150" t="str">
        <f>"REGIS SCHOOL"</f>
        <v>REGIS SCHOOL</v>
      </c>
      <c r="D150" t="s">
        <v>11</v>
      </c>
      <c r="E150" t="s">
        <v>185</v>
      </c>
      <c r="F150" t="s">
        <v>15</v>
      </c>
      <c r="G150">
        <v>77055</v>
      </c>
      <c r="H150">
        <v>2015</v>
      </c>
      <c r="I150" s="1">
        <v>562.46</v>
      </c>
      <c r="J150" s="1">
        <v>2812.32</v>
      </c>
      <c r="K150" s="1">
        <v>488.6</v>
      </c>
    </row>
    <row r="151" spans="1:11" x14ac:dyDescent="0.35">
      <c r="A151">
        <v>999371</v>
      </c>
      <c r="B151">
        <v>2736880</v>
      </c>
      <c r="C151" t="str">
        <f>"REICHER CATHOLIC HIGH SCHOOL"</f>
        <v>REICHER CATHOLIC HIGH SCHOOL</v>
      </c>
      <c r="D151" t="s">
        <v>11</v>
      </c>
      <c r="E151" t="s">
        <v>186</v>
      </c>
      <c r="F151" t="s">
        <v>68</v>
      </c>
      <c r="G151">
        <v>76708</v>
      </c>
      <c r="H151">
        <v>2015</v>
      </c>
      <c r="I151" s="1">
        <v>5918.4</v>
      </c>
      <c r="J151" s="1">
        <v>14796</v>
      </c>
      <c r="K151" s="1">
        <v>5918.4</v>
      </c>
    </row>
    <row r="152" spans="1:11" x14ac:dyDescent="0.35">
      <c r="A152">
        <v>997252</v>
      </c>
      <c r="B152">
        <v>2719381</v>
      </c>
      <c r="C152" t="str">
        <f>"RESURRECTION SCHOOL"</f>
        <v>RESURRECTION SCHOOL</v>
      </c>
      <c r="D152" t="s">
        <v>11</v>
      </c>
      <c r="E152" t="s">
        <v>187</v>
      </c>
      <c r="F152" t="s">
        <v>15</v>
      </c>
      <c r="G152">
        <v>77020</v>
      </c>
      <c r="H152">
        <v>2015</v>
      </c>
      <c r="I152" s="1">
        <v>1919.52</v>
      </c>
      <c r="J152" s="1">
        <v>2399.4</v>
      </c>
      <c r="K152" s="1">
        <v>1594.4</v>
      </c>
    </row>
    <row r="153" spans="1:11" x14ac:dyDescent="0.35">
      <c r="A153">
        <v>995651</v>
      </c>
      <c r="B153">
        <v>2735953</v>
      </c>
      <c r="C153" t="str">
        <f>"SACRED HEART ELEMENTARY SCHOOL"</f>
        <v>SACRED HEART ELEMENTARY SCHOOL</v>
      </c>
      <c r="D153" t="s">
        <v>11</v>
      </c>
      <c r="E153" t="s">
        <v>188</v>
      </c>
      <c r="F153" t="s">
        <v>189</v>
      </c>
      <c r="G153">
        <v>78382</v>
      </c>
      <c r="H153">
        <v>2015</v>
      </c>
      <c r="I153" s="1">
        <v>1343.58</v>
      </c>
      <c r="J153" s="1">
        <v>1919.4</v>
      </c>
      <c r="K153" s="1">
        <v>1343.58</v>
      </c>
    </row>
    <row r="154" spans="1:11" x14ac:dyDescent="0.35">
      <c r="A154">
        <v>999002</v>
      </c>
      <c r="B154">
        <v>2721419</v>
      </c>
      <c r="C154" t="str">
        <f>"SACRED HEART ELEMENTARY SCHOOL"</f>
        <v>SACRED HEART ELEMENTARY SCHOOL</v>
      </c>
      <c r="D154" t="s">
        <v>11</v>
      </c>
      <c r="E154" t="s">
        <v>190</v>
      </c>
      <c r="F154" t="s">
        <v>191</v>
      </c>
      <c r="G154">
        <v>77964</v>
      </c>
      <c r="H154">
        <v>2015</v>
      </c>
      <c r="I154" s="1">
        <v>1315.2</v>
      </c>
      <c r="J154" s="1">
        <v>3288</v>
      </c>
      <c r="K154" s="1">
        <v>1314</v>
      </c>
    </row>
    <row r="155" spans="1:11" x14ac:dyDescent="0.35">
      <c r="A155">
        <v>999002</v>
      </c>
      <c r="B155">
        <v>2721421</v>
      </c>
      <c r="C155" t="str">
        <f>"SACRED HEART ELEMENTARY SCHOOL"</f>
        <v>SACRED HEART ELEMENTARY SCHOOL</v>
      </c>
      <c r="D155" t="s">
        <v>11</v>
      </c>
      <c r="E155" t="s">
        <v>190</v>
      </c>
      <c r="F155" t="s">
        <v>191</v>
      </c>
      <c r="G155">
        <v>77964</v>
      </c>
      <c r="H155">
        <v>2015</v>
      </c>
      <c r="I155" s="1">
        <v>329.28</v>
      </c>
      <c r="J155" s="1">
        <v>823.2</v>
      </c>
      <c r="K155" s="1">
        <v>328</v>
      </c>
    </row>
    <row r="156" spans="1:11" x14ac:dyDescent="0.35">
      <c r="A156">
        <v>1047439</v>
      </c>
      <c r="B156">
        <v>2867802</v>
      </c>
      <c r="C156" t="str">
        <f>"SACRED HEART ELEMENTARY SCHOOL"</f>
        <v>SACRED HEART ELEMENTARY SCHOOL</v>
      </c>
      <c r="D156" t="s">
        <v>11</v>
      </c>
      <c r="E156" t="s">
        <v>192</v>
      </c>
      <c r="F156" t="s">
        <v>193</v>
      </c>
      <c r="G156">
        <v>78840</v>
      </c>
      <c r="H156">
        <v>2015</v>
      </c>
      <c r="I156" s="1">
        <v>489.5</v>
      </c>
      <c r="J156" s="1">
        <v>2447.52</v>
      </c>
      <c r="K156" s="1">
        <v>489.5</v>
      </c>
    </row>
    <row r="157" spans="1:11" x14ac:dyDescent="0.35">
      <c r="A157">
        <v>997268</v>
      </c>
      <c r="B157">
        <v>2719385</v>
      </c>
      <c r="C157" t="str">
        <f>"SACRED HEART ELEMENTARY SCHOOL-CONROE"</f>
        <v>SACRED HEART ELEMENTARY SCHOOL-CONROE</v>
      </c>
      <c r="D157" t="s">
        <v>11</v>
      </c>
      <c r="E157" t="s">
        <v>194</v>
      </c>
      <c r="F157" t="s">
        <v>195</v>
      </c>
      <c r="G157">
        <v>77301</v>
      </c>
      <c r="H157">
        <v>2015</v>
      </c>
      <c r="I157" s="1">
        <v>609.36</v>
      </c>
      <c r="J157" s="1">
        <v>1523.4</v>
      </c>
      <c r="K157" s="1">
        <v>609.36</v>
      </c>
    </row>
    <row r="158" spans="1:11" x14ac:dyDescent="0.35">
      <c r="A158">
        <v>997256</v>
      </c>
      <c r="B158">
        <v>2719383</v>
      </c>
      <c r="C158" t="str">
        <f>"SACRED HEART ELEMENTARY SCHOOL-CROSBY"</f>
        <v>SACRED HEART ELEMENTARY SCHOOL-CROSBY</v>
      </c>
      <c r="D158" t="s">
        <v>11</v>
      </c>
      <c r="E158" t="s">
        <v>196</v>
      </c>
      <c r="F158" t="s">
        <v>197</v>
      </c>
      <c r="G158">
        <v>77532</v>
      </c>
      <c r="H158">
        <v>2015</v>
      </c>
      <c r="I158" s="1">
        <v>297.12</v>
      </c>
      <c r="J158" s="1">
        <v>742.8</v>
      </c>
      <c r="K158" s="1">
        <v>297.12</v>
      </c>
    </row>
    <row r="159" spans="1:11" x14ac:dyDescent="0.35">
      <c r="A159">
        <v>1046539</v>
      </c>
      <c r="B159">
        <v>2855970</v>
      </c>
      <c r="C159" t="str">
        <f>"SACRED HEART PARISH SCHOOL"</f>
        <v>SACRED HEART PARISH SCHOOL</v>
      </c>
      <c r="D159" t="s">
        <v>11</v>
      </c>
      <c r="E159" t="s">
        <v>198</v>
      </c>
      <c r="F159" t="s">
        <v>199</v>
      </c>
      <c r="G159">
        <v>78801</v>
      </c>
      <c r="H159">
        <v>2015</v>
      </c>
      <c r="I159" s="1">
        <v>1041.26</v>
      </c>
      <c r="J159" s="1">
        <v>1735.44</v>
      </c>
      <c r="K159" s="1">
        <v>1041.26</v>
      </c>
    </row>
    <row r="160" spans="1:11" x14ac:dyDescent="0.35">
      <c r="A160">
        <v>1048776</v>
      </c>
      <c r="B160">
        <v>2863892</v>
      </c>
      <c r="C160" t="str">
        <f>"SACRED HEART SCHOOL"</f>
        <v>SACRED HEART SCHOOL</v>
      </c>
      <c r="D160" t="s">
        <v>11</v>
      </c>
      <c r="E160" t="s">
        <v>200</v>
      </c>
      <c r="F160" t="s">
        <v>201</v>
      </c>
      <c r="G160">
        <v>78114</v>
      </c>
      <c r="H160">
        <v>2015</v>
      </c>
      <c r="I160" s="1">
        <v>935.64</v>
      </c>
      <c r="J160" s="1">
        <v>1871.28</v>
      </c>
      <c r="K160" s="1">
        <v>0</v>
      </c>
    </row>
    <row r="161" spans="1:11" x14ac:dyDescent="0.35">
      <c r="A161">
        <v>1033965</v>
      </c>
      <c r="B161">
        <v>2814486</v>
      </c>
      <c r="C161" t="str">
        <f>"SAN ANTONIO SCHOOL FOR INQUIRY AND CREATIVITY"</f>
        <v>SAN ANTONIO SCHOOL FOR INQUIRY AND CREATIVITY</v>
      </c>
      <c r="D161" t="s">
        <v>11</v>
      </c>
      <c r="E161" t="s">
        <v>202</v>
      </c>
      <c r="F161" t="s">
        <v>49</v>
      </c>
      <c r="G161">
        <v>78212</v>
      </c>
      <c r="H161">
        <v>2015</v>
      </c>
      <c r="I161" s="1">
        <v>10260</v>
      </c>
      <c r="J161" s="1">
        <v>11400</v>
      </c>
    </row>
    <row r="162" spans="1:11" x14ac:dyDescent="0.35">
      <c r="A162">
        <v>1033965</v>
      </c>
      <c r="B162">
        <v>2814504</v>
      </c>
      <c r="C162" t="str">
        <f>"SAN ANTONIO SCHOOL FOR INQUIRY AND CREATIVITY"</f>
        <v>SAN ANTONIO SCHOOL FOR INQUIRY AND CREATIVITY</v>
      </c>
      <c r="D162" t="s">
        <v>11</v>
      </c>
      <c r="E162" t="s">
        <v>202</v>
      </c>
      <c r="F162" t="s">
        <v>49</v>
      </c>
      <c r="G162">
        <v>78212</v>
      </c>
      <c r="H162">
        <v>2015</v>
      </c>
      <c r="I162" s="1">
        <v>23760</v>
      </c>
      <c r="J162" s="1">
        <v>26400</v>
      </c>
    </row>
    <row r="163" spans="1:11" x14ac:dyDescent="0.35">
      <c r="A163">
        <v>1023857</v>
      </c>
      <c r="B163">
        <v>2779073</v>
      </c>
      <c r="C163" t="str">
        <f>"SAN JUAN DIEGO CATHOLIC HIGH SCHOOL"</f>
        <v>SAN JUAN DIEGO CATHOLIC HIGH SCHOOL</v>
      </c>
      <c r="D163" t="s">
        <v>11</v>
      </c>
      <c r="E163" t="s">
        <v>203</v>
      </c>
      <c r="F163" t="s">
        <v>33</v>
      </c>
      <c r="G163">
        <v>78704</v>
      </c>
      <c r="H163">
        <v>2015</v>
      </c>
      <c r="I163" s="1">
        <v>2009.28</v>
      </c>
      <c r="J163" s="1">
        <v>2511.6</v>
      </c>
      <c r="K163" s="1">
        <v>2004</v>
      </c>
    </row>
    <row r="164" spans="1:11" x14ac:dyDescent="0.35">
      <c r="A164">
        <v>1046872</v>
      </c>
      <c r="B164">
        <v>2856993</v>
      </c>
      <c r="C164" t="str">
        <f>"SANTA CLARA DE ASSISI SCHOOL"</f>
        <v>SANTA CLARA DE ASSISI SCHOOL</v>
      </c>
      <c r="D164" t="s">
        <v>11</v>
      </c>
      <c r="E164" t="s">
        <v>204</v>
      </c>
      <c r="F164" t="s">
        <v>13</v>
      </c>
      <c r="G164">
        <v>75211</v>
      </c>
      <c r="H164">
        <v>2015</v>
      </c>
      <c r="I164" s="1">
        <v>4773.0200000000004</v>
      </c>
      <c r="J164" s="1">
        <v>7955.04</v>
      </c>
      <c r="K164" s="1">
        <v>4773</v>
      </c>
    </row>
    <row r="165" spans="1:11" x14ac:dyDescent="0.35">
      <c r="A165">
        <v>1040497</v>
      </c>
      <c r="B165">
        <v>2834883</v>
      </c>
      <c r="C165" t="str">
        <f>"SANTA CRUZ CATHOLIC SCHOOL"</f>
        <v>SANTA CRUZ CATHOLIC SCHOOL</v>
      </c>
      <c r="D165" t="s">
        <v>11</v>
      </c>
      <c r="E165" t="s">
        <v>205</v>
      </c>
      <c r="F165" t="s">
        <v>206</v>
      </c>
      <c r="G165">
        <v>78610</v>
      </c>
      <c r="H165">
        <v>2015</v>
      </c>
      <c r="I165" s="1">
        <v>2065.9699999999998</v>
      </c>
      <c r="J165" s="1">
        <v>5164.92</v>
      </c>
      <c r="K165" s="1">
        <v>2065.9699999999998</v>
      </c>
    </row>
    <row r="166" spans="1:11" x14ac:dyDescent="0.35">
      <c r="A166">
        <v>1020645</v>
      </c>
      <c r="B166">
        <v>2818600</v>
      </c>
      <c r="C166" t="str">
        <f>"SCOFIELD CHRISTIAN SCHOOL"</f>
        <v>SCOFIELD CHRISTIAN SCHOOL</v>
      </c>
      <c r="D166" t="s">
        <v>11</v>
      </c>
      <c r="E166" t="s">
        <v>207</v>
      </c>
      <c r="F166" t="s">
        <v>13</v>
      </c>
      <c r="G166">
        <v>75231</v>
      </c>
      <c r="H166">
        <v>2015</v>
      </c>
      <c r="I166" s="1">
        <v>1809.6</v>
      </c>
      <c r="J166" s="1">
        <v>4524</v>
      </c>
      <c r="K166" s="1">
        <v>1809.6</v>
      </c>
    </row>
    <row r="167" spans="1:11" x14ac:dyDescent="0.35">
      <c r="A167">
        <v>1038373</v>
      </c>
      <c r="B167">
        <v>2827691</v>
      </c>
      <c r="C167" t="str">
        <f>"SEPHARDIC GAN"</f>
        <v>SEPHARDIC GAN</v>
      </c>
      <c r="D167" t="s">
        <v>11</v>
      </c>
      <c r="E167" t="s">
        <v>208</v>
      </c>
      <c r="F167" t="s">
        <v>15</v>
      </c>
      <c r="G167">
        <v>77096</v>
      </c>
      <c r="H167">
        <v>2015</v>
      </c>
      <c r="I167" s="1">
        <v>2880</v>
      </c>
      <c r="J167" s="1">
        <v>3600</v>
      </c>
      <c r="K167" s="1">
        <v>1863.47</v>
      </c>
    </row>
    <row r="168" spans="1:11" x14ac:dyDescent="0.35">
      <c r="A168">
        <v>997083</v>
      </c>
      <c r="B168">
        <v>2719158</v>
      </c>
      <c r="C168" t="str">
        <f>"SETON CATHOLIC JR HIGH SCHOOL"</f>
        <v>SETON CATHOLIC JR HIGH SCHOOL</v>
      </c>
      <c r="D168" t="s">
        <v>11</v>
      </c>
      <c r="E168" t="s">
        <v>209</v>
      </c>
      <c r="F168" t="s">
        <v>15</v>
      </c>
      <c r="G168">
        <v>77037</v>
      </c>
      <c r="H168">
        <v>2015</v>
      </c>
      <c r="I168" s="1">
        <v>915.36</v>
      </c>
      <c r="J168" s="1">
        <v>1144.2</v>
      </c>
      <c r="K168" s="1">
        <v>915.36</v>
      </c>
    </row>
    <row r="169" spans="1:11" x14ac:dyDescent="0.35">
      <c r="A169">
        <v>997083</v>
      </c>
      <c r="B169">
        <v>2719159</v>
      </c>
      <c r="C169" t="str">
        <f>"SETON CATHOLIC JR HIGH SCHOOL"</f>
        <v>SETON CATHOLIC JR HIGH SCHOOL</v>
      </c>
      <c r="D169" t="s">
        <v>11</v>
      </c>
      <c r="E169" t="s">
        <v>209</v>
      </c>
      <c r="F169" t="s">
        <v>15</v>
      </c>
      <c r="G169">
        <v>77037</v>
      </c>
      <c r="H169">
        <v>2015</v>
      </c>
      <c r="I169" s="1">
        <v>2897.28</v>
      </c>
      <c r="J169" s="1">
        <v>3621.6</v>
      </c>
      <c r="K169" s="1">
        <v>2886.4</v>
      </c>
    </row>
    <row r="170" spans="1:11" x14ac:dyDescent="0.35">
      <c r="A170">
        <v>1005470</v>
      </c>
      <c r="B170">
        <v>2741961</v>
      </c>
      <c r="C170" t="str">
        <f>"ST AMBROSE SCHOOL"</f>
        <v>ST AMBROSE SCHOOL</v>
      </c>
      <c r="D170" t="s">
        <v>11</v>
      </c>
      <c r="E170" t="s">
        <v>210</v>
      </c>
      <c r="F170" t="s">
        <v>15</v>
      </c>
      <c r="G170">
        <v>77092</v>
      </c>
      <c r="H170">
        <v>2015</v>
      </c>
      <c r="I170" s="1">
        <v>878.93</v>
      </c>
      <c r="J170" s="1">
        <v>2197.3200000000002</v>
      </c>
      <c r="K170" s="1">
        <v>871.66</v>
      </c>
    </row>
    <row r="171" spans="1:11" x14ac:dyDescent="0.35">
      <c r="A171">
        <v>1046941</v>
      </c>
      <c r="B171">
        <v>2861057</v>
      </c>
      <c r="C171" t="str">
        <f>"ST ANDREW'S EPISCOPAL SCHOOL"</f>
        <v>ST ANDREW'S EPISCOPAL SCHOOL</v>
      </c>
      <c r="D171" t="s">
        <v>11</v>
      </c>
      <c r="E171" t="s">
        <v>211</v>
      </c>
      <c r="F171" t="s">
        <v>31</v>
      </c>
      <c r="G171">
        <v>79102</v>
      </c>
      <c r="H171">
        <v>2015</v>
      </c>
      <c r="I171" s="1">
        <v>3600</v>
      </c>
      <c r="J171" s="1">
        <v>9000</v>
      </c>
      <c r="K171" s="1">
        <v>3300</v>
      </c>
    </row>
    <row r="172" spans="1:11" x14ac:dyDescent="0.35">
      <c r="A172">
        <v>1010911</v>
      </c>
      <c r="B172">
        <v>2743704</v>
      </c>
      <c r="C172" t="str">
        <f>"ST ANNE CATHOLIC ELEM SCHOOL-COMBALL"</f>
        <v>ST ANNE CATHOLIC ELEM SCHOOL-COMBALL</v>
      </c>
      <c r="D172" t="s">
        <v>11</v>
      </c>
      <c r="E172" t="s">
        <v>212</v>
      </c>
      <c r="F172" t="s">
        <v>213</v>
      </c>
      <c r="G172">
        <v>77375</v>
      </c>
      <c r="H172">
        <v>2015</v>
      </c>
      <c r="I172" s="1">
        <v>4308.38</v>
      </c>
      <c r="J172" s="1">
        <v>10770.96</v>
      </c>
      <c r="K172" s="1">
        <v>4308</v>
      </c>
    </row>
    <row r="173" spans="1:11" x14ac:dyDescent="0.35">
      <c r="A173">
        <v>1010386</v>
      </c>
      <c r="B173">
        <v>2742479</v>
      </c>
      <c r="C173" t="str">
        <f>"ST ANNE SCHOOL-HOUSTON"</f>
        <v>ST ANNE SCHOOL-HOUSTON</v>
      </c>
      <c r="D173" t="s">
        <v>11</v>
      </c>
      <c r="E173" t="s">
        <v>214</v>
      </c>
      <c r="F173" t="s">
        <v>15</v>
      </c>
      <c r="G173">
        <v>77098</v>
      </c>
      <c r="H173">
        <v>2015</v>
      </c>
      <c r="I173" s="1">
        <v>7296.19</v>
      </c>
      <c r="J173" s="1">
        <v>18240.48</v>
      </c>
      <c r="K173" s="1">
        <v>7296.19</v>
      </c>
    </row>
    <row r="174" spans="1:11" x14ac:dyDescent="0.35">
      <c r="A174">
        <v>1049552</v>
      </c>
      <c r="B174">
        <v>2869542</v>
      </c>
      <c r="C174" t="str">
        <f>"ST ANTHONY ELEMENTARY SCHOOL"</f>
        <v>ST ANTHONY ELEMENTARY SCHOOL</v>
      </c>
      <c r="D174" t="s">
        <v>11</v>
      </c>
      <c r="E174" t="s">
        <v>215</v>
      </c>
      <c r="F174" t="s">
        <v>216</v>
      </c>
      <c r="G174">
        <v>78934</v>
      </c>
      <c r="H174">
        <v>2015</v>
      </c>
      <c r="I174" s="1">
        <v>8131.5</v>
      </c>
      <c r="J174" s="1">
        <v>16263</v>
      </c>
      <c r="K174" s="1">
        <v>8050.69</v>
      </c>
    </row>
    <row r="175" spans="1:11" x14ac:dyDescent="0.35">
      <c r="A175">
        <v>1003611</v>
      </c>
      <c r="B175">
        <v>2839377</v>
      </c>
      <c r="C175" t="str">
        <f>"ST ANTHONY OF PADUA SCHOOL"</f>
        <v>ST ANTHONY OF PADUA SCHOOL</v>
      </c>
      <c r="D175" t="s">
        <v>11</v>
      </c>
      <c r="E175" t="s">
        <v>217</v>
      </c>
      <c r="F175" t="s">
        <v>218</v>
      </c>
      <c r="G175">
        <v>77382</v>
      </c>
      <c r="H175">
        <v>2015</v>
      </c>
      <c r="I175" s="1">
        <v>16949.14</v>
      </c>
      <c r="J175" s="1">
        <v>42372.84</v>
      </c>
      <c r="K175" s="1">
        <v>16949.14</v>
      </c>
    </row>
    <row r="176" spans="1:11" x14ac:dyDescent="0.35">
      <c r="A176">
        <v>1026049</v>
      </c>
      <c r="B176">
        <v>2861500</v>
      </c>
      <c r="C176" t="str">
        <f>"ST ANTHONY SCHOOL"</f>
        <v>ST ANTHONY SCHOOL</v>
      </c>
      <c r="D176" t="s">
        <v>11</v>
      </c>
      <c r="E176" t="s">
        <v>219</v>
      </c>
      <c r="F176" t="s">
        <v>49</v>
      </c>
      <c r="G176">
        <v>78212</v>
      </c>
      <c r="H176">
        <v>2015</v>
      </c>
      <c r="I176" s="1">
        <v>386.69</v>
      </c>
      <c r="J176" s="1">
        <v>966.72</v>
      </c>
      <c r="K176" s="1">
        <v>386.69</v>
      </c>
    </row>
    <row r="177" spans="1:11" x14ac:dyDescent="0.35">
      <c r="A177">
        <v>1026049</v>
      </c>
      <c r="B177">
        <v>2861480</v>
      </c>
      <c r="C177" t="str">
        <f>"ST ANTHONY SCHOOL"</f>
        <v>ST ANTHONY SCHOOL</v>
      </c>
      <c r="D177" t="s">
        <v>11</v>
      </c>
      <c r="E177" t="s">
        <v>219</v>
      </c>
      <c r="F177" t="s">
        <v>49</v>
      </c>
      <c r="G177">
        <v>78212</v>
      </c>
      <c r="H177">
        <v>2015</v>
      </c>
      <c r="I177" s="1">
        <v>538.61</v>
      </c>
      <c r="J177" s="1">
        <v>1346.52</v>
      </c>
      <c r="K177" s="1">
        <v>528</v>
      </c>
    </row>
    <row r="178" spans="1:11" x14ac:dyDescent="0.35">
      <c r="A178">
        <v>1011016</v>
      </c>
      <c r="B178">
        <v>2743984</v>
      </c>
      <c r="C178" t="str">
        <f>"ST AUGUSTINE CATHOLIC SCHOOL"</f>
        <v>ST AUGUSTINE CATHOLIC SCHOOL</v>
      </c>
      <c r="D178" t="s">
        <v>11</v>
      </c>
      <c r="E178" t="s">
        <v>220</v>
      </c>
      <c r="F178" t="s">
        <v>15</v>
      </c>
      <c r="G178">
        <v>77017</v>
      </c>
      <c r="H178">
        <v>2015</v>
      </c>
      <c r="I178" s="1">
        <v>1786.85</v>
      </c>
      <c r="J178" s="1">
        <v>2233.56</v>
      </c>
      <c r="K178" s="1">
        <v>1786.85</v>
      </c>
    </row>
    <row r="179" spans="1:11" x14ac:dyDescent="0.35">
      <c r="A179">
        <v>1025150</v>
      </c>
      <c r="B179">
        <v>2802887</v>
      </c>
      <c r="C179" t="str">
        <f>"ST AUSTIN'S ELEMENTARY SCHOOL"</f>
        <v>ST AUSTIN'S ELEMENTARY SCHOOL</v>
      </c>
      <c r="D179" t="s">
        <v>11</v>
      </c>
      <c r="E179" t="s">
        <v>221</v>
      </c>
      <c r="F179" t="s">
        <v>33</v>
      </c>
      <c r="G179">
        <v>78705</v>
      </c>
      <c r="H179">
        <v>2015</v>
      </c>
      <c r="I179" s="1">
        <v>2279.71</v>
      </c>
      <c r="J179" s="1">
        <v>5699.28</v>
      </c>
      <c r="K179" s="1">
        <v>2279.71</v>
      </c>
    </row>
    <row r="180" spans="1:11" x14ac:dyDescent="0.35">
      <c r="A180">
        <v>1049566</v>
      </c>
      <c r="B180">
        <v>2866183</v>
      </c>
      <c r="C180" t="str">
        <f>"ST BERNARD OF CLAIRVAUX SCHOOL"</f>
        <v>ST BERNARD OF CLAIRVAUX SCHOOL</v>
      </c>
      <c r="D180" t="s">
        <v>11</v>
      </c>
      <c r="E180" t="s">
        <v>222</v>
      </c>
      <c r="F180" t="s">
        <v>13</v>
      </c>
      <c r="G180">
        <v>75218</v>
      </c>
      <c r="H180">
        <v>2015</v>
      </c>
      <c r="I180" s="1">
        <v>5960</v>
      </c>
      <c r="J180" s="1">
        <v>11920</v>
      </c>
      <c r="K180" s="1">
        <v>4821.96</v>
      </c>
    </row>
    <row r="181" spans="1:11" x14ac:dyDescent="0.35">
      <c r="A181">
        <v>1011038</v>
      </c>
      <c r="B181">
        <v>2744111</v>
      </c>
      <c r="C181" t="str">
        <f>"ST CATHERINE MONTESSORI SCHOOL"</f>
        <v>ST CATHERINE MONTESSORI SCHOOL</v>
      </c>
      <c r="D181" t="s">
        <v>11</v>
      </c>
      <c r="E181" t="s">
        <v>223</v>
      </c>
      <c r="F181" t="s">
        <v>15</v>
      </c>
      <c r="G181">
        <v>77054</v>
      </c>
      <c r="H181">
        <v>2015</v>
      </c>
      <c r="I181" s="1">
        <v>2131.1999999999998</v>
      </c>
      <c r="J181" s="1">
        <v>5328</v>
      </c>
      <c r="K181" s="1">
        <v>2131.1999999999998</v>
      </c>
    </row>
    <row r="182" spans="1:11" x14ac:dyDescent="0.35">
      <c r="A182">
        <v>1011038</v>
      </c>
      <c r="B182">
        <v>2744149</v>
      </c>
      <c r="C182" t="str">
        <f>"ST CATHERINE MONTESSORI SCHOOL"</f>
        <v>ST CATHERINE MONTESSORI SCHOOL</v>
      </c>
      <c r="D182" t="s">
        <v>11</v>
      </c>
      <c r="E182" t="s">
        <v>223</v>
      </c>
      <c r="F182" t="s">
        <v>15</v>
      </c>
      <c r="G182">
        <v>77054</v>
      </c>
      <c r="H182">
        <v>2015</v>
      </c>
      <c r="I182" s="1">
        <v>644.21</v>
      </c>
      <c r="J182" s="1">
        <v>1610.52</v>
      </c>
      <c r="K182" s="1">
        <v>319.52</v>
      </c>
    </row>
    <row r="183" spans="1:11" x14ac:dyDescent="0.35">
      <c r="A183">
        <v>1022092</v>
      </c>
      <c r="B183">
        <v>2773637</v>
      </c>
      <c r="C183" t="str">
        <f>"ST CATHERINE OF SIENA SCHOOL"</f>
        <v>ST CATHERINE OF SIENA SCHOOL</v>
      </c>
      <c r="D183" t="s">
        <v>11</v>
      </c>
      <c r="E183" t="s">
        <v>224</v>
      </c>
      <c r="F183" t="s">
        <v>225</v>
      </c>
      <c r="G183">
        <v>77642</v>
      </c>
      <c r="H183">
        <v>2015</v>
      </c>
      <c r="I183" s="1">
        <v>1800</v>
      </c>
      <c r="J183" s="1">
        <v>3600</v>
      </c>
      <c r="K183" s="1">
        <v>1800</v>
      </c>
    </row>
    <row r="184" spans="1:11" x14ac:dyDescent="0.35">
      <c r="A184">
        <v>1003700</v>
      </c>
      <c r="B184">
        <v>2727596</v>
      </c>
      <c r="C184" t="str">
        <f>"ST CECILIA SCHOOL"</f>
        <v>ST CECILIA SCHOOL</v>
      </c>
      <c r="D184" t="s">
        <v>11</v>
      </c>
      <c r="E184" t="s">
        <v>226</v>
      </c>
      <c r="F184" t="s">
        <v>15</v>
      </c>
      <c r="G184">
        <v>77024</v>
      </c>
      <c r="H184">
        <v>2015</v>
      </c>
      <c r="I184" s="1">
        <v>1714.1</v>
      </c>
      <c r="J184" s="1">
        <v>8570.52</v>
      </c>
      <c r="K184" s="1">
        <v>1692.44</v>
      </c>
    </row>
    <row r="185" spans="1:11" x14ac:dyDescent="0.35">
      <c r="A185">
        <v>1031228</v>
      </c>
      <c r="B185">
        <v>2803884</v>
      </c>
      <c r="C185" t="str">
        <f>"ST CECILIA SCHOOL"</f>
        <v>ST CECILIA SCHOOL</v>
      </c>
      <c r="D185" t="s">
        <v>11</v>
      </c>
      <c r="E185" t="s">
        <v>227</v>
      </c>
      <c r="F185" t="s">
        <v>13</v>
      </c>
      <c r="G185">
        <v>75208</v>
      </c>
      <c r="H185">
        <v>2015</v>
      </c>
      <c r="I185" s="1">
        <v>5665.25</v>
      </c>
      <c r="J185" s="1">
        <v>9442.08</v>
      </c>
      <c r="K185" s="1">
        <v>4759.2</v>
      </c>
    </row>
    <row r="186" spans="1:11" x14ac:dyDescent="0.35">
      <c r="A186">
        <v>1011177</v>
      </c>
      <c r="B186">
        <v>2744473</v>
      </c>
      <c r="C186" t="str">
        <f>"ST CHRISTOPHER SCHOOL"</f>
        <v>ST CHRISTOPHER SCHOOL</v>
      </c>
      <c r="D186" t="s">
        <v>11</v>
      </c>
      <c r="E186" t="s">
        <v>228</v>
      </c>
      <c r="F186" t="s">
        <v>15</v>
      </c>
      <c r="G186">
        <v>77017</v>
      </c>
      <c r="H186">
        <v>2015</v>
      </c>
      <c r="I186" s="1">
        <v>2258.11</v>
      </c>
      <c r="J186" s="1">
        <v>2822.64</v>
      </c>
      <c r="K186" s="1">
        <v>2258.11</v>
      </c>
    </row>
    <row r="187" spans="1:11" x14ac:dyDescent="0.35">
      <c r="A187">
        <v>1011685</v>
      </c>
      <c r="B187">
        <v>2745971</v>
      </c>
      <c r="C187" t="str">
        <f>"ST CLAIRE OF ASSISI"</f>
        <v>ST CLAIRE OF ASSISI</v>
      </c>
      <c r="D187" t="s">
        <v>11</v>
      </c>
      <c r="E187" t="s">
        <v>229</v>
      </c>
      <c r="F187" t="s">
        <v>15</v>
      </c>
      <c r="G187">
        <v>77059</v>
      </c>
      <c r="H187">
        <v>2015</v>
      </c>
      <c r="I187" s="1">
        <v>743.76</v>
      </c>
      <c r="J187" s="1">
        <v>1859.4</v>
      </c>
      <c r="K187" s="1">
        <v>743.76</v>
      </c>
    </row>
    <row r="188" spans="1:11" x14ac:dyDescent="0.35">
      <c r="A188">
        <v>1011687</v>
      </c>
      <c r="B188">
        <v>2745976</v>
      </c>
      <c r="C188" t="str">
        <f>"ST EDWARD SCHOOL"</f>
        <v>ST EDWARD SCHOOL</v>
      </c>
      <c r="D188" t="s">
        <v>11</v>
      </c>
      <c r="E188" t="s">
        <v>230</v>
      </c>
      <c r="F188" t="s">
        <v>152</v>
      </c>
      <c r="G188">
        <v>77389</v>
      </c>
      <c r="H188">
        <v>2015</v>
      </c>
      <c r="I188" s="1">
        <v>3360</v>
      </c>
      <c r="J188" s="1">
        <v>8400</v>
      </c>
      <c r="K188" s="1">
        <v>3270.8</v>
      </c>
    </row>
    <row r="189" spans="1:11" x14ac:dyDescent="0.35">
      <c r="A189">
        <v>1011688</v>
      </c>
      <c r="B189">
        <v>2745981</v>
      </c>
      <c r="C189" t="str">
        <f>"ST ELIZABETH ANN SETON SCHOOL"</f>
        <v>ST ELIZABETH ANN SETON SCHOOL</v>
      </c>
      <c r="D189" t="s">
        <v>11</v>
      </c>
      <c r="E189" t="s">
        <v>231</v>
      </c>
      <c r="F189" t="s">
        <v>15</v>
      </c>
      <c r="G189">
        <v>77084</v>
      </c>
      <c r="H189">
        <v>2015</v>
      </c>
      <c r="I189" s="1">
        <v>1760.59</v>
      </c>
      <c r="J189" s="1">
        <v>4401.4799999999996</v>
      </c>
      <c r="K189" s="1">
        <v>1760.59</v>
      </c>
    </row>
    <row r="190" spans="1:11" x14ac:dyDescent="0.35">
      <c r="A190">
        <v>1031327</v>
      </c>
      <c r="B190">
        <v>2804242</v>
      </c>
      <c r="C190" t="str">
        <f>"ST ELIZABETH CATHOLIC SCHOOL"</f>
        <v>ST ELIZABETH CATHOLIC SCHOOL</v>
      </c>
      <c r="D190" t="s">
        <v>11</v>
      </c>
      <c r="E190" t="s">
        <v>232</v>
      </c>
      <c r="F190" t="s">
        <v>13</v>
      </c>
      <c r="G190">
        <v>75224</v>
      </c>
      <c r="H190">
        <v>2015</v>
      </c>
      <c r="I190" s="1">
        <v>4392.3599999999997</v>
      </c>
      <c r="J190" s="1">
        <v>8784.7199999999993</v>
      </c>
      <c r="K190" s="1">
        <v>4383.87</v>
      </c>
    </row>
    <row r="191" spans="1:11" x14ac:dyDescent="0.35">
      <c r="A191">
        <v>1012734</v>
      </c>
      <c r="B191">
        <v>2748780</v>
      </c>
      <c r="C191" t="str">
        <f>"ST FRANCIS DE SALES SCHOOL"</f>
        <v>ST FRANCIS DE SALES SCHOOL</v>
      </c>
      <c r="D191" t="s">
        <v>11</v>
      </c>
      <c r="E191" t="s">
        <v>233</v>
      </c>
      <c r="F191" t="s">
        <v>15</v>
      </c>
      <c r="G191">
        <v>77036</v>
      </c>
      <c r="H191">
        <v>2015</v>
      </c>
      <c r="I191" s="1">
        <v>717.7</v>
      </c>
      <c r="J191" s="1">
        <v>1794.24</v>
      </c>
      <c r="K191" s="1">
        <v>623.71</v>
      </c>
    </row>
    <row r="192" spans="1:11" x14ac:dyDescent="0.35">
      <c r="A192">
        <v>1012734</v>
      </c>
      <c r="B192">
        <v>2748789</v>
      </c>
      <c r="C192" t="str">
        <f>"ST FRANCIS DE SALES SCHOOL"</f>
        <v>ST FRANCIS DE SALES SCHOOL</v>
      </c>
      <c r="D192" t="s">
        <v>11</v>
      </c>
      <c r="E192" t="s">
        <v>233</v>
      </c>
      <c r="F192" t="s">
        <v>15</v>
      </c>
      <c r="G192">
        <v>77036</v>
      </c>
      <c r="H192">
        <v>2015</v>
      </c>
      <c r="I192" s="1">
        <v>1185.5999999999999</v>
      </c>
      <c r="J192" s="1">
        <v>2964</v>
      </c>
      <c r="K192" s="1">
        <v>1185.5999999999999</v>
      </c>
    </row>
    <row r="193" spans="1:11" x14ac:dyDescent="0.35">
      <c r="A193">
        <v>1012853</v>
      </c>
      <c r="B193">
        <v>2749071</v>
      </c>
      <c r="C193" t="str">
        <f>"ST FRANCIS OF ASSISI SCHOOL"</f>
        <v>ST FRANCIS OF ASSISI SCHOOL</v>
      </c>
      <c r="D193" t="s">
        <v>11</v>
      </c>
      <c r="E193" t="s">
        <v>234</v>
      </c>
      <c r="F193" t="s">
        <v>15</v>
      </c>
      <c r="G193">
        <v>77026</v>
      </c>
      <c r="H193">
        <v>2015</v>
      </c>
      <c r="I193" s="1">
        <v>854.88</v>
      </c>
      <c r="J193" s="1">
        <v>1068.5999999999999</v>
      </c>
      <c r="K193" s="1">
        <v>854.88</v>
      </c>
    </row>
    <row r="194" spans="1:11" x14ac:dyDescent="0.35">
      <c r="A194">
        <v>1022782</v>
      </c>
      <c r="B194">
        <v>2809443</v>
      </c>
      <c r="C194" t="str">
        <f>"ST HELEN CATHOLIC SCHOOL"</f>
        <v>ST HELEN CATHOLIC SCHOOL</v>
      </c>
      <c r="D194" t="s">
        <v>11</v>
      </c>
      <c r="E194" t="s">
        <v>235</v>
      </c>
      <c r="F194" t="s">
        <v>236</v>
      </c>
      <c r="G194">
        <v>78626</v>
      </c>
      <c r="H194">
        <v>2015</v>
      </c>
      <c r="I194" s="1">
        <v>1223.76</v>
      </c>
      <c r="J194" s="1">
        <v>3059.4</v>
      </c>
      <c r="K194" s="1">
        <v>966.48</v>
      </c>
    </row>
    <row r="195" spans="1:11" x14ac:dyDescent="0.35">
      <c r="A195">
        <v>1012873</v>
      </c>
      <c r="B195">
        <v>2749128</v>
      </c>
      <c r="C195" t="str">
        <f>"ST HELEN SCHOOL"</f>
        <v>ST HELEN SCHOOL</v>
      </c>
      <c r="D195" t="s">
        <v>11</v>
      </c>
      <c r="E195" t="s">
        <v>237</v>
      </c>
      <c r="F195" t="s">
        <v>238</v>
      </c>
      <c r="G195">
        <v>77581</v>
      </c>
      <c r="H195">
        <v>2015</v>
      </c>
      <c r="I195" s="1">
        <v>402.62</v>
      </c>
      <c r="J195" s="1">
        <v>1006.56</v>
      </c>
      <c r="K195" s="1">
        <v>354.94</v>
      </c>
    </row>
    <row r="196" spans="1:11" x14ac:dyDescent="0.35">
      <c r="A196">
        <v>1045751</v>
      </c>
      <c r="B196">
        <v>2853616</v>
      </c>
      <c r="C196" t="str">
        <f>"ST JAMES EPISCOPAL SCHOOL"</f>
        <v>ST JAMES EPISCOPAL SCHOOL</v>
      </c>
      <c r="D196" t="s">
        <v>11</v>
      </c>
      <c r="E196" t="s">
        <v>239</v>
      </c>
      <c r="F196" t="s">
        <v>240</v>
      </c>
      <c r="G196">
        <v>78401</v>
      </c>
      <c r="H196">
        <v>2015</v>
      </c>
      <c r="I196" s="1">
        <v>1479.07</v>
      </c>
      <c r="J196" s="1">
        <v>3697.68</v>
      </c>
      <c r="K196" s="1">
        <v>986.08</v>
      </c>
    </row>
    <row r="197" spans="1:11" x14ac:dyDescent="0.35">
      <c r="A197">
        <v>999631</v>
      </c>
      <c r="B197">
        <v>2722278</v>
      </c>
      <c r="C197" t="str">
        <f>"ST JEROME SCHOOL"</f>
        <v>ST JEROME SCHOOL</v>
      </c>
      <c r="D197" t="s">
        <v>11</v>
      </c>
      <c r="E197" t="s">
        <v>241</v>
      </c>
      <c r="F197" t="s">
        <v>15</v>
      </c>
      <c r="G197">
        <v>77080</v>
      </c>
      <c r="H197">
        <v>2015</v>
      </c>
      <c r="I197" s="1">
        <v>712.01</v>
      </c>
      <c r="J197" s="1">
        <v>1186.68</v>
      </c>
      <c r="K197" s="1">
        <v>711.6</v>
      </c>
    </row>
    <row r="198" spans="1:11" x14ac:dyDescent="0.35">
      <c r="A198">
        <v>999631</v>
      </c>
      <c r="B198">
        <v>2722274</v>
      </c>
      <c r="C198" t="str">
        <f>"ST JEROME SCHOOL"</f>
        <v>ST JEROME SCHOOL</v>
      </c>
      <c r="D198" t="s">
        <v>11</v>
      </c>
      <c r="E198" t="s">
        <v>241</v>
      </c>
      <c r="F198" t="s">
        <v>15</v>
      </c>
      <c r="G198">
        <v>77080</v>
      </c>
      <c r="H198">
        <v>2015</v>
      </c>
      <c r="I198" s="1">
        <v>1345.68</v>
      </c>
      <c r="J198" s="1">
        <v>2242.8000000000002</v>
      </c>
      <c r="K198" s="1">
        <v>1344</v>
      </c>
    </row>
    <row r="199" spans="1:11" x14ac:dyDescent="0.35">
      <c r="A199">
        <v>1046609</v>
      </c>
      <c r="B199">
        <v>2861435</v>
      </c>
      <c r="C199" t="str">
        <f>"ST JOHN BOSCO SCHOOL"</f>
        <v>ST JOHN BOSCO SCHOOL</v>
      </c>
      <c r="D199" t="s">
        <v>11</v>
      </c>
      <c r="E199" t="s">
        <v>242</v>
      </c>
      <c r="F199" t="s">
        <v>49</v>
      </c>
      <c r="G199">
        <v>78237</v>
      </c>
      <c r="H199">
        <v>2015</v>
      </c>
      <c r="I199" s="1">
        <v>12480</v>
      </c>
      <c r="J199" s="1">
        <v>15600</v>
      </c>
      <c r="K199" s="1">
        <v>12480</v>
      </c>
    </row>
    <row r="200" spans="1:11" x14ac:dyDescent="0.35">
      <c r="A200">
        <v>1023460</v>
      </c>
      <c r="B200">
        <v>2786556</v>
      </c>
      <c r="C200" t="str">
        <f>"ST JOSEPH ACADEMY"</f>
        <v>ST JOSEPH ACADEMY</v>
      </c>
      <c r="D200" t="s">
        <v>11</v>
      </c>
      <c r="E200" t="s">
        <v>243</v>
      </c>
      <c r="F200" t="s">
        <v>89</v>
      </c>
      <c r="G200">
        <v>78520</v>
      </c>
      <c r="H200">
        <v>2015</v>
      </c>
      <c r="I200" s="1">
        <v>13920.77</v>
      </c>
      <c r="J200" s="1">
        <v>34801.919999999998</v>
      </c>
      <c r="K200" s="1">
        <v>13890.29</v>
      </c>
    </row>
    <row r="201" spans="1:11" x14ac:dyDescent="0.35">
      <c r="A201">
        <v>1034407</v>
      </c>
      <c r="B201">
        <v>2814508</v>
      </c>
      <c r="C201" t="str">
        <f>"ST JOSEPH CATHOLIC ELEM SCHOOL"</f>
        <v>ST JOSEPH CATHOLIC ELEM SCHOOL</v>
      </c>
      <c r="D201" t="s">
        <v>11</v>
      </c>
      <c r="E201" t="s">
        <v>244</v>
      </c>
      <c r="F201" t="s">
        <v>245</v>
      </c>
      <c r="G201">
        <v>75165</v>
      </c>
      <c r="H201">
        <v>2015</v>
      </c>
      <c r="I201" s="1">
        <v>922.99</v>
      </c>
      <c r="J201" s="1">
        <v>2307.48</v>
      </c>
      <c r="K201" s="1">
        <v>922.99</v>
      </c>
    </row>
    <row r="202" spans="1:11" x14ac:dyDescent="0.35">
      <c r="A202">
        <v>1012914</v>
      </c>
      <c r="B202">
        <v>2749199</v>
      </c>
      <c r="C202" t="str">
        <f>"ST JOSEPH ELEMENTARY SCHOOL"</f>
        <v>ST JOSEPH ELEMENTARY SCHOOL</v>
      </c>
      <c r="D202" t="s">
        <v>11</v>
      </c>
      <c r="E202" t="s">
        <v>246</v>
      </c>
      <c r="F202" t="s">
        <v>247</v>
      </c>
      <c r="G202">
        <v>77520</v>
      </c>
      <c r="H202">
        <v>2015</v>
      </c>
      <c r="I202" s="1">
        <v>978.62</v>
      </c>
      <c r="J202" s="1">
        <v>1223.28</v>
      </c>
      <c r="K202" s="1">
        <v>963.06</v>
      </c>
    </row>
    <row r="203" spans="1:11" x14ac:dyDescent="0.35">
      <c r="A203">
        <v>1048807</v>
      </c>
      <c r="B203">
        <v>2863836</v>
      </c>
      <c r="C203" t="str">
        <f>"ST JOSEPH SCHOOL"</f>
        <v>ST JOSEPH SCHOOL</v>
      </c>
      <c r="D203" t="s">
        <v>11</v>
      </c>
      <c r="E203" t="s">
        <v>248</v>
      </c>
      <c r="F203" t="s">
        <v>249</v>
      </c>
      <c r="G203">
        <v>75081</v>
      </c>
      <c r="H203">
        <v>2015</v>
      </c>
      <c r="I203" s="1">
        <v>2266.56</v>
      </c>
      <c r="J203" s="1">
        <v>5666.4</v>
      </c>
      <c r="K203" s="1">
        <v>2266.56</v>
      </c>
    </row>
    <row r="204" spans="1:11" x14ac:dyDescent="0.35">
      <c r="A204">
        <v>1025621</v>
      </c>
      <c r="B204">
        <v>2807192</v>
      </c>
      <c r="C204" t="str">
        <f>"ST JOSEPH'S ELEMENTARY SCHOOL"</f>
        <v>ST JOSEPH'S ELEMENTARY SCHOOL</v>
      </c>
      <c r="D204" t="s">
        <v>11</v>
      </c>
      <c r="E204" t="s">
        <v>250</v>
      </c>
      <c r="F204" t="s">
        <v>251</v>
      </c>
      <c r="G204">
        <v>76543</v>
      </c>
      <c r="H204">
        <v>2015</v>
      </c>
      <c r="I204" s="1">
        <v>1249.56</v>
      </c>
      <c r="J204" s="1">
        <v>2499.12</v>
      </c>
      <c r="K204" s="1">
        <v>1249.56</v>
      </c>
    </row>
    <row r="205" spans="1:11" x14ac:dyDescent="0.35">
      <c r="A205">
        <v>1021034</v>
      </c>
      <c r="B205">
        <v>2770569</v>
      </c>
      <c r="C205" t="str">
        <f>"ST LAURENCE ELEMENTARY SCHOOL"</f>
        <v>ST LAURENCE ELEMENTARY SCHOOL</v>
      </c>
      <c r="D205" t="s">
        <v>11</v>
      </c>
      <c r="E205" t="s">
        <v>252</v>
      </c>
      <c r="F205" t="s">
        <v>253</v>
      </c>
      <c r="G205">
        <v>77479</v>
      </c>
      <c r="H205">
        <v>2015</v>
      </c>
      <c r="I205" s="1">
        <v>6018</v>
      </c>
      <c r="J205" s="1">
        <v>15045</v>
      </c>
      <c r="K205" s="1">
        <v>5711.7</v>
      </c>
    </row>
    <row r="206" spans="1:11" x14ac:dyDescent="0.35">
      <c r="A206">
        <v>1021034</v>
      </c>
      <c r="B206">
        <v>2770566</v>
      </c>
      <c r="C206" t="str">
        <f>"ST LAURENCE ELEMENTARY SCHOOL"</f>
        <v>ST LAURENCE ELEMENTARY SCHOOL</v>
      </c>
      <c r="D206" t="s">
        <v>11</v>
      </c>
      <c r="E206" t="s">
        <v>252</v>
      </c>
      <c r="F206" t="s">
        <v>253</v>
      </c>
      <c r="G206">
        <v>77479</v>
      </c>
      <c r="H206">
        <v>2015</v>
      </c>
      <c r="I206" s="1">
        <v>1125.1199999999999</v>
      </c>
      <c r="J206" s="1">
        <v>2812.8</v>
      </c>
      <c r="K206" s="1">
        <v>1125.1199999999999</v>
      </c>
    </row>
    <row r="207" spans="1:11" x14ac:dyDescent="0.35">
      <c r="A207">
        <v>1049225</v>
      </c>
      <c r="B207">
        <v>2866573</v>
      </c>
      <c r="C207" t="str">
        <f>"ST LOUIS CATHOLIC SCHOOL"</f>
        <v>ST LOUIS CATHOLIC SCHOOL</v>
      </c>
      <c r="D207" t="s">
        <v>11</v>
      </c>
      <c r="E207" t="s">
        <v>254</v>
      </c>
      <c r="F207" t="s">
        <v>255</v>
      </c>
      <c r="G207">
        <v>78009</v>
      </c>
      <c r="H207">
        <v>2015</v>
      </c>
      <c r="I207" s="1">
        <v>410.82</v>
      </c>
      <c r="J207" s="1">
        <v>821.64</v>
      </c>
      <c r="K207" s="1">
        <v>390</v>
      </c>
    </row>
    <row r="208" spans="1:11" x14ac:dyDescent="0.35">
      <c r="A208">
        <v>1034291</v>
      </c>
      <c r="B208">
        <v>2814230</v>
      </c>
      <c r="C208" t="str">
        <f>"ST LOUIS ELEMENTARY SCHOOL"</f>
        <v>ST LOUIS ELEMENTARY SCHOOL</v>
      </c>
      <c r="D208" t="s">
        <v>11</v>
      </c>
      <c r="E208" t="s">
        <v>256</v>
      </c>
      <c r="F208" t="s">
        <v>68</v>
      </c>
      <c r="G208">
        <v>76708</v>
      </c>
      <c r="H208">
        <v>2015</v>
      </c>
      <c r="I208" s="1">
        <v>1271.52</v>
      </c>
      <c r="J208" s="1">
        <v>3178.8</v>
      </c>
      <c r="K208" s="1">
        <v>1271.52</v>
      </c>
    </row>
    <row r="209" spans="1:11" x14ac:dyDescent="0.35">
      <c r="A209">
        <v>1031503</v>
      </c>
      <c r="B209">
        <v>2805005</v>
      </c>
      <c r="C209" t="str">
        <f>"ST MARK CATHOLIC SCHOOL"</f>
        <v>ST MARK CATHOLIC SCHOOL</v>
      </c>
      <c r="D209" t="s">
        <v>11</v>
      </c>
      <c r="E209" t="s">
        <v>257</v>
      </c>
      <c r="F209" t="s">
        <v>126</v>
      </c>
      <c r="G209">
        <v>75075</v>
      </c>
      <c r="H209">
        <v>2015</v>
      </c>
      <c r="I209" s="1">
        <v>8147.14</v>
      </c>
      <c r="J209" s="1">
        <v>20367.84</v>
      </c>
      <c r="K209" s="1">
        <v>8133.92</v>
      </c>
    </row>
    <row r="210" spans="1:11" x14ac:dyDescent="0.35">
      <c r="A210">
        <v>1013481</v>
      </c>
      <c r="B210">
        <v>2750422</v>
      </c>
      <c r="C210" t="str">
        <f>"ST MARTHA'S SCHOOL"</f>
        <v>ST MARTHA'S SCHOOL</v>
      </c>
      <c r="D210" t="s">
        <v>11</v>
      </c>
      <c r="E210" t="s">
        <v>258</v>
      </c>
      <c r="F210" t="s">
        <v>259</v>
      </c>
      <c r="G210">
        <v>77339</v>
      </c>
      <c r="H210">
        <v>2015</v>
      </c>
      <c r="I210" s="1">
        <v>1816.51</v>
      </c>
      <c r="J210" s="1">
        <v>4541.28</v>
      </c>
      <c r="K210" s="1">
        <v>1487.76</v>
      </c>
    </row>
    <row r="211" spans="1:11" x14ac:dyDescent="0.35">
      <c r="A211">
        <v>1026055</v>
      </c>
      <c r="B211">
        <v>2865037</v>
      </c>
      <c r="C211" t="str">
        <f>"ST MARY ELEMENTARY SCHOOL"</f>
        <v>ST MARY ELEMENTARY SCHOOL</v>
      </c>
      <c r="D211" t="s">
        <v>11</v>
      </c>
      <c r="E211" t="s">
        <v>260</v>
      </c>
      <c r="F211" t="s">
        <v>261</v>
      </c>
      <c r="G211">
        <v>78624</v>
      </c>
      <c r="H211">
        <v>2015</v>
      </c>
      <c r="I211" s="1">
        <v>2550</v>
      </c>
      <c r="J211" s="1">
        <v>5100</v>
      </c>
      <c r="K211" s="1">
        <v>2444.29</v>
      </c>
    </row>
    <row r="212" spans="1:11" x14ac:dyDescent="0.35">
      <c r="A212">
        <v>1044942</v>
      </c>
      <c r="B212">
        <v>2858566</v>
      </c>
      <c r="C212" t="str">
        <f>"ST MARY MAGDALEN SCHOOL"</f>
        <v>ST MARY MAGDALEN SCHOOL</v>
      </c>
      <c r="D212" t="s">
        <v>11</v>
      </c>
      <c r="E212" t="s">
        <v>262</v>
      </c>
      <c r="F212" t="s">
        <v>49</v>
      </c>
      <c r="G212">
        <v>78201</v>
      </c>
      <c r="H212">
        <v>2015</v>
      </c>
      <c r="I212" s="1">
        <v>9612</v>
      </c>
      <c r="J212" s="1">
        <v>16020</v>
      </c>
      <c r="K212" s="1">
        <v>9445.32</v>
      </c>
    </row>
    <row r="213" spans="1:11" x14ac:dyDescent="0.35">
      <c r="A213">
        <v>1013652</v>
      </c>
      <c r="B213">
        <v>2750752</v>
      </c>
      <c r="C213" t="str">
        <f>"ST MARY MAGDALENE SCHOOL"</f>
        <v>ST MARY MAGDALENE SCHOOL</v>
      </c>
      <c r="D213" t="s">
        <v>11</v>
      </c>
      <c r="E213" t="s">
        <v>263</v>
      </c>
      <c r="F213" t="s">
        <v>264</v>
      </c>
      <c r="G213">
        <v>77338</v>
      </c>
      <c r="H213">
        <v>2015</v>
      </c>
      <c r="I213" s="1">
        <v>532.32000000000005</v>
      </c>
      <c r="J213" s="1">
        <v>1330.8</v>
      </c>
      <c r="K213" s="1">
        <v>532.32000000000005</v>
      </c>
    </row>
    <row r="214" spans="1:11" x14ac:dyDescent="0.35">
      <c r="A214">
        <v>1034323</v>
      </c>
      <c r="B214">
        <v>2814317</v>
      </c>
      <c r="C214" t="str">
        <f>"ST MARY OF CARMEL SCHOOL"</f>
        <v>ST MARY OF CARMEL SCHOOL</v>
      </c>
      <c r="D214" t="s">
        <v>11</v>
      </c>
      <c r="E214" t="s">
        <v>265</v>
      </c>
      <c r="F214" t="s">
        <v>13</v>
      </c>
      <c r="G214">
        <v>75212</v>
      </c>
      <c r="H214">
        <v>2015</v>
      </c>
      <c r="I214" s="1">
        <v>7225.54</v>
      </c>
      <c r="J214" s="1">
        <v>9031.92</v>
      </c>
      <c r="K214" s="1">
        <v>7225.54</v>
      </c>
    </row>
    <row r="215" spans="1:11" x14ac:dyDescent="0.35">
      <c r="A215">
        <v>1013548</v>
      </c>
      <c r="B215">
        <v>2750560</v>
      </c>
      <c r="C215" t="str">
        <f>"ST MARY SCHOOL"</f>
        <v>ST MARY SCHOOL</v>
      </c>
      <c r="D215" t="s">
        <v>11</v>
      </c>
      <c r="E215" t="s">
        <v>266</v>
      </c>
      <c r="F215" t="s">
        <v>65</v>
      </c>
      <c r="G215">
        <v>77573</v>
      </c>
      <c r="H215">
        <v>2015</v>
      </c>
      <c r="I215" s="1">
        <v>451.01</v>
      </c>
      <c r="J215" s="1">
        <v>1127.52</v>
      </c>
      <c r="K215" s="1">
        <v>451.01</v>
      </c>
    </row>
    <row r="216" spans="1:11" x14ac:dyDescent="0.35">
      <c r="A216">
        <v>1028590</v>
      </c>
      <c r="B216">
        <v>2803641</v>
      </c>
      <c r="C216" t="str">
        <f>"ST MARY SCHOOL"</f>
        <v>ST MARY SCHOOL</v>
      </c>
      <c r="D216" t="s">
        <v>11</v>
      </c>
      <c r="E216" t="s">
        <v>267</v>
      </c>
      <c r="F216" t="s">
        <v>268</v>
      </c>
      <c r="G216">
        <v>76691</v>
      </c>
      <c r="H216">
        <v>2015</v>
      </c>
      <c r="I216" s="1">
        <v>3300</v>
      </c>
      <c r="J216" s="1">
        <v>6600</v>
      </c>
      <c r="K216" s="1">
        <v>3300</v>
      </c>
    </row>
    <row r="217" spans="1:11" x14ac:dyDescent="0.35">
      <c r="A217">
        <v>1044036</v>
      </c>
      <c r="B217">
        <v>2848169</v>
      </c>
      <c r="C217" t="str">
        <f>"ST MARY'S ACADEMY CHARTER SCHOOL"</f>
        <v>ST MARY'S ACADEMY CHARTER SCHOOL</v>
      </c>
      <c r="D217" t="s">
        <v>11</v>
      </c>
      <c r="E217" t="s">
        <v>269</v>
      </c>
      <c r="F217" t="s">
        <v>270</v>
      </c>
      <c r="G217">
        <v>78102</v>
      </c>
      <c r="H217">
        <v>2015</v>
      </c>
      <c r="I217" s="1">
        <v>10818</v>
      </c>
      <c r="J217" s="1">
        <v>12020</v>
      </c>
      <c r="K217" s="1">
        <v>10428.82</v>
      </c>
    </row>
    <row r="218" spans="1:11" x14ac:dyDescent="0.35">
      <c r="A218">
        <v>1021952</v>
      </c>
      <c r="B218">
        <v>2773402</v>
      </c>
      <c r="C218" t="str">
        <f>"ST MARY'S CATHEDRAL SCHOOL"</f>
        <v>ST MARY'S CATHEDRAL SCHOOL</v>
      </c>
      <c r="D218" t="s">
        <v>11</v>
      </c>
      <c r="E218" t="s">
        <v>271</v>
      </c>
      <c r="F218" t="s">
        <v>33</v>
      </c>
      <c r="G218">
        <v>78701</v>
      </c>
      <c r="H218">
        <v>2015</v>
      </c>
      <c r="I218" s="1">
        <v>0</v>
      </c>
      <c r="J218" s="1">
        <v>0</v>
      </c>
    </row>
    <row r="219" spans="1:11" x14ac:dyDescent="0.35">
      <c r="A219">
        <v>1030087</v>
      </c>
      <c r="B219">
        <v>2851968</v>
      </c>
      <c r="C219" t="str">
        <f>"ST MARY'S SCHOOL"</f>
        <v>ST MARY'S SCHOOL</v>
      </c>
      <c r="D219" t="s">
        <v>11</v>
      </c>
      <c r="E219" t="s">
        <v>272</v>
      </c>
      <c r="F219" t="s">
        <v>273</v>
      </c>
      <c r="G219">
        <v>76574</v>
      </c>
      <c r="H219">
        <v>2015</v>
      </c>
      <c r="I219" s="1">
        <v>0</v>
      </c>
      <c r="J219" s="1">
        <v>0</v>
      </c>
    </row>
    <row r="220" spans="1:11" x14ac:dyDescent="0.35">
      <c r="A220">
        <v>1031603</v>
      </c>
      <c r="B220">
        <v>2805368</v>
      </c>
      <c r="C220" t="str">
        <f>"ST MARY'S SCHOOL"</f>
        <v>ST MARY'S SCHOOL</v>
      </c>
      <c r="D220" t="s">
        <v>11</v>
      </c>
      <c r="E220" t="s">
        <v>274</v>
      </c>
      <c r="F220" t="s">
        <v>275</v>
      </c>
      <c r="G220">
        <v>75090</v>
      </c>
      <c r="H220">
        <v>2015</v>
      </c>
      <c r="I220" s="1">
        <v>780</v>
      </c>
      <c r="J220" s="1">
        <v>1560</v>
      </c>
      <c r="K220" s="1">
        <v>666.46</v>
      </c>
    </row>
    <row r="221" spans="1:11" x14ac:dyDescent="0.35">
      <c r="A221">
        <v>1030087</v>
      </c>
      <c r="B221">
        <v>2851786</v>
      </c>
      <c r="C221" t="str">
        <f>"ST MARY'S SCHOOL"</f>
        <v>ST MARY'S SCHOOL</v>
      </c>
      <c r="D221" t="s">
        <v>11</v>
      </c>
      <c r="E221" t="s">
        <v>272</v>
      </c>
      <c r="F221" t="s">
        <v>273</v>
      </c>
      <c r="G221">
        <v>76574</v>
      </c>
      <c r="H221">
        <v>2015</v>
      </c>
      <c r="I221" s="1">
        <v>443.52</v>
      </c>
      <c r="J221" s="1">
        <v>887.04</v>
      </c>
    </row>
    <row r="222" spans="1:11" x14ac:dyDescent="0.35">
      <c r="A222">
        <v>1030087</v>
      </c>
      <c r="B222">
        <v>2851809</v>
      </c>
      <c r="C222" t="str">
        <f>"ST MARY'S SCHOOL"</f>
        <v>ST MARY'S SCHOOL</v>
      </c>
      <c r="D222" t="s">
        <v>11</v>
      </c>
      <c r="E222" t="s">
        <v>272</v>
      </c>
      <c r="F222" t="s">
        <v>273</v>
      </c>
      <c r="G222">
        <v>76574</v>
      </c>
      <c r="H222">
        <v>2015</v>
      </c>
      <c r="I222" s="1">
        <v>293.52</v>
      </c>
      <c r="J222" s="1">
        <v>587.04</v>
      </c>
    </row>
    <row r="223" spans="1:11" x14ac:dyDescent="0.35">
      <c r="A223">
        <v>1030087</v>
      </c>
      <c r="B223">
        <v>2851904</v>
      </c>
      <c r="C223" t="str">
        <f>"ST MARY'S SCHOOL"</f>
        <v>ST MARY'S SCHOOL</v>
      </c>
      <c r="D223" t="s">
        <v>11</v>
      </c>
      <c r="E223" t="s">
        <v>272</v>
      </c>
      <c r="F223" t="s">
        <v>273</v>
      </c>
      <c r="G223">
        <v>76574</v>
      </c>
      <c r="H223">
        <v>2015</v>
      </c>
      <c r="I223" s="1">
        <v>0</v>
      </c>
      <c r="J223" s="1">
        <v>0</v>
      </c>
    </row>
    <row r="224" spans="1:11" x14ac:dyDescent="0.35">
      <c r="A224">
        <v>1026584</v>
      </c>
      <c r="B224">
        <v>2814916</v>
      </c>
      <c r="C224" t="str">
        <f>"ST MARY'S-TEMPLE"</f>
        <v>ST MARY'S-TEMPLE</v>
      </c>
      <c r="D224" t="s">
        <v>11</v>
      </c>
      <c r="E224" t="s">
        <v>276</v>
      </c>
      <c r="F224" t="s">
        <v>107</v>
      </c>
      <c r="G224">
        <v>76504</v>
      </c>
      <c r="H224">
        <v>2015</v>
      </c>
      <c r="I224" s="1">
        <v>1082.02</v>
      </c>
      <c r="J224" s="1">
        <v>2705.04</v>
      </c>
    </row>
    <row r="225" spans="1:11" x14ac:dyDescent="0.35">
      <c r="A225">
        <v>1044883</v>
      </c>
      <c r="B225">
        <v>2854810</v>
      </c>
      <c r="C225" t="str">
        <f>"ST MARY'S-TEMPLE"</f>
        <v>ST MARY'S-TEMPLE</v>
      </c>
      <c r="D225" t="s">
        <v>11</v>
      </c>
      <c r="E225" t="s">
        <v>276</v>
      </c>
      <c r="F225" t="s">
        <v>107</v>
      </c>
      <c r="G225">
        <v>76504</v>
      </c>
      <c r="H225">
        <v>2015</v>
      </c>
      <c r="I225" s="1">
        <v>1843.2</v>
      </c>
      <c r="J225" s="1">
        <v>4608</v>
      </c>
    </row>
    <row r="226" spans="1:11" x14ac:dyDescent="0.35">
      <c r="A226">
        <v>1026056</v>
      </c>
      <c r="B226">
        <v>2843573</v>
      </c>
      <c r="C226" t="str">
        <f>"ST MATTHEW CATHOLIC SCHOOL"</f>
        <v>ST MATTHEW CATHOLIC SCHOOL</v>
      </c>
      <c r="D226" t="s">
        <v>11</v>
      </c>
      <c r="E226" t="s">
        <v>277</v>
      </c>
      <c r="F226" t="s">
        <v>49</v>
      </c>
      <c r="G226">
        <v>78230</v>
      </c>
      <c r="H226">
        <v>2015</v>
      </c>
      <c r="I226" s="1">
        <v>10022.4</v>
      </c>
      <c r="J226" s="1">
        <v>25056</v>
      </c>
      <c r="K226" s="1">
        <v>10022.4</v>
      </c>
    </row>
    <row r="227" spans="1:11" x14ac:dyDescent="0.35">
      <c r="A227">
        <v>1013768</v>
      </c>
      <c r="B227">
        <v>2751086</v>
      </c>
      <c r="C227" t="str">
        <f>"ST MICHAEL SCHOOL"</f>
        <v>ST MICHAEL SCHOOL</v>
      </c>
      <c r="D227" t="s">
        <v>11</v>
      </c>
      <c r="E227" t="s">
        <v>278</v>
      </c>
      <c r="F227" t="s">
        <v>15</v>
      </c>
      <c r="G227">
        <v>77056</v>
      </c>
      <c r="H227">
        <v>2015</v>
      </c>
      <c r="I227" s="1">
        <v>1663.2</v>
      </c>
      <c r="J227" s="1">
        <v>4158</v>
      </c>
      <c r="K227" s="1">
        <v>1663.2</v>
      </c>
    </row>
    <row r="228" spans="1:11" x14ac:dyDescent="0.35">
      <c r="A228">
        <v>1013768</v>
      </c>
      <c r="B228">
        <v>2751097</v>
      </c>
      <c r="C228" t="str">
        <f>"ST MICHAEL SCHOOL"</f>
        <v>ST MICHAEL SCHOOL</v>
      </c>
      <c r="D228" t="s">
        <v>11</v>
      </c>
      <c r="E228" t="s">
        <v>278</v>
      </c>
      <c r="F228" t="s">
        <v>15</v>
      </c>
      <c r="G228">
        <v>77056</v>
      </c>
      <c r="H228">
        <v>2015</v>
      </c>
      <c r="I228" s="1">
        <v>547.20000000000005</v>
      </c>
      <c r="J228" s="1">
        <v>1368</v>
      </c>
      <c r="K228" s="1">
        <v>547.20000000000005</v>
      </c>
    </row>
    <row r="229" spans="1:11" x14ac:dyDescent="0.35">
      <c r="A229">
        <v>999003</v>
      </c>
      <c r="B229">
        <v>2723473</v>
      </c>
      <c r="C229" t="str">
        <f>"ST MICHAEL SCHOOL"</f>
        <v>ST MICHAEL SCHOOL</v>
      </c>
      <c r="D229" t="s">
        <v>11</v>
      </c>
      <c r="E229" t="s">
        <v>279</v>
      </c>
      <c r="F229" t="s">
        <v>280</v>
      </c>
      <c r="G229">
        <v>77954</v>
      </c>
      <c r="H229">
        <v>2015</v>
      </c>
      <c r="I229" s="1">
        <v>553.61</v>
      </c>
      <c r="J229" s="1">
        <v>922.68</v>
      </c>
      <c r="K229" s="1">
        <v>324</v>
      </c>
    </row>
    <row r="230" spans="1:11" x14ac:dyDescent="0.35">
      <c r="A230">
        <v>1021690</v>
      </c>
      <c r="B230">
        <v>2843704</v>
      </c>
      <c r="C230" t="str">
        <f>"ST MICHAEL'S CATHOLIC ACADEMY"</f>
        <v>ST MICHAEL'S CATHOLIC ACADEMY</v>
      </c>
      <c r="D230" t="s">
        <v>11</v>
      </c>
      <c r="E230" t="s">
        <v>281</v>
      </c>
      <c r="F230" t="s">
        <v>33</v>
      </c>
      <c r="G230">
        <v>78735</v>
      </c>
      <c r="H230">
        <v>2015</v>
      </c>
      <c r="I230" s="1">
        <v>10320.14</v>
      </c>
      <c r="J230" s="1">
        <v>25800.36</v>
      </c>
      <c r="K230" s="1">
        <v>10181.49</v>
      </c>
    </row>
    <row r="231" spans="1:11" x14ac:dyDescent="0.35">
      <c r="A231">
        <v>1031984</v>
      </c>
      <c r="B231">
        <v>2855841</v>
      </c>
      <c r="C231" t="str">
        <f>"ST MONICA SCHOOL"</f>
        <v>ST MONICA SCHOOL</v>
      </c>
      <c r="D231" t="s">
        <v>11</v>
      </c>
      <c r="E231" t="s">
        <v>282</v>
      </c>
      <c r="F231" t="s">
        <v>13</v>
      </c>
      <c r="G231">
        <v>75229</v>
      </c>
      <c r="H231">
        <v>2015</v>
      </c>
      <c r="I231" s="1">
        <v>2440</v>
      </c>
      <c r="J231" s="1">
        <v>6100</v>
      </c>
      <c r="K231" s="1">
        <v>2170</v>
      </c>
    </row>
    <row r="232" spans="1:11" x14ac:dyDescent="0.35">
      <c r="A232">
        <v>1031984</v>
      </c>
      <c r="B232">
        <v>2855807</v>
      </c>
      <c r="C232" t="str">
        <f>"ST MONICA SCHOOL"</f>
        <v>ST MONICA SCHOOL</v>
      </c>
      <c r="D232" t="s">
        <v>11</v>
      </c>
      <c r="E232" t="s">
        <v>282</v>
      </c>
      <c r="F232" t="s">
        <v>13</v>
      </c>
      <c r="G232">
        <v>75229</v>
      </c>
      <c r="H232">
        <v>2015</v>
      </c>
      <c r="I232" s="1">
        <v>6570</v>
      </c>
      <c r="J232" s="1">
        <v>16425</v>
      </c>
      <c r="K232" s="1">
        <v>5840</v>
      </c>
    </row>
    <row r="233" spans="1:11" x14ac:dyDescent="0.35">
      <c r="A233">
        <v>1039182</v>
      </c>
      <c r="B233">
        <v>2830240</v>
      </c>
      <c r="C233" t="str">
        <f>"ST PATRICK CATHOLIC SCHOOL"</f>
        <v>ST PATRICK CATHOLIC SCHOOL</v>
      </c>
      <c r="D233" t="s">
        <v>11</v>
      </c>
      <c r="E233" t="s">
        <v>283</v>
      </c>
      <c r="F233" t="s">
        <v>177</v>
      </c>
      <c r="G233">
        <v>75901</v>
      </c>
      <c r="H233">
        <v>2015</v>
      </c>
      <c r="I233" s="1">
        <v>1536</v>
      </c>
      <c r="J233" s="1">
        <v>1920</v>
      </c>
      <c r="K233" s="1">
        <v>1313.94</v>
      </c>
    </row>
    <row r="234" spans="1:11" x14ac:dyDescent="0.35">
      <c r="A234">
        <v>1017124</v>
      </c>
      <c r="B234">
        <v>2760748</v>
      </c>
      <c r="C234" t="str">
        <f>"ST PATRICK ELEMENTARY SCHOOL"</f>
        <v>ST PATRICK ELEMENTARY SCHOOL</v>
      </c>
      <c r="D234" t="s">
        <v>11</v>
      </c>
      <c r="E234" t="s">
        <v>284</v>
      </c>
      <c r="F234" t="s">
        <v>51</v>
      </c>
      <c r="G234">
        <v>79902</v>
      </c>
      <c r="H234">
        <v>2015</v>
      </c>
      <c r="I234" s="1">
        <v>490.75</v>
      </c>
      <c r="J234" s="1">
        <v>1226.8800000000001</v>
      </c>
      <c r="K234" s="1">
        <v>396.6</v>
      </c>
    </row>
    <row r="235" spans="1:11" x14ac:dyDescent="0.35">
      <c r="A235">
        <v>1013720</v>
      </c>
      <c r="B235">
        <v>2750943</v>
      </c>
      <c r="C235" t="str">
        <f>"ST PAUL LUTHERAN DAY SCHOOL"</f>
        <v>ST PAUL LUTHERAN DAY SCHOOL</v>
      </c>
      <c r="D235" t="s">
        <v>11</v>
      </c>
      <c r="E235" t="s">
        <v>285</v>
      </c>
      <c r="F235" t="s">
        <v>80</v>
      </c>
      <c r="G235">
        <v>76102</v>
      </c>
      <c r="H235">
        <v>2015</v>
      </c>
      <c r="I235" s="1">
        <v>1992.34</v>
      </c>
      <c r="J235" s="1">
        <v>4980.84</v>
      </c>
      <c r="K235" s="1">
        <v>1992.34</v>
      </c>
    </row>
    <row r="236" spans="1:11" x14ac:dyDescent="0.35">
      <c r="A236">
        <v>1034268</v>
      </c>
      <c r="B236">
        <v>2814148</v>
      </c>
      <c r="C236" t="str">
        <f>"ST PAUL THE APOSTLE SCHOOL"</f>
        <v>ST PAUL THE APOSTLE SCHOOL</v>
      </c>
      <c r="D236" t="s">
        <v>11</v>
      </c>
      <c r="E236" t="s">
        <v>286</v>
      </c>
      <c r="F236" t="s">
        <v>249</v>
      </c>
      <c r="G236">
        <v>75080</v>
      </c>
      <c r="H236">
        <v>2015</v>
      </c>
      <c r="I236" s="1">
        <v>1795.3</v>
      </c>
      <c r="J236" s="1">
        <v>4488.24</v>
      </c>
      <c r="K236" s="1">
        <v>1795.3</v>
      </c>
    </row>
    <row r="237" spans="1:11" x14ac:dyDescent="0.35">
      <c r="A237">
        <v>1026057</v>
      </c>
      <c r="B237">
        <v>2838491</v>
      </c>
      <c r="C237" t="str">
        <f>"ST PETER PRINCE OF APOSTLES"</f>
        <v>ST PETER PRINCE OF APOSTLES</v>
      </c>
      <c r="D237" t="s">
        <v>11</v>
      </c>
      <c r="E237" t="s">
        <v>287</v>
      </c>
      <c r="F237" t="s">
        <v>49</v>
      </c>
      <c r="G237">
        <v>78209</v>
      </c>
      <c r="H237">
        <v>2015</v>
      </c>
      <c r="I237" s="1">
        <v>91.2</v>
      </c>
      <c r="J237" s="1">
        <v>228</v>
      </c>
    </row>
    <row r="238" spans="1:11" x14ac:dyDescent="0.35">
      <c r="A238">
        <v>1051775</v>
      </c>
      <c r="B238">
        <v>2873126</v>
      </c>
      <c r="C238" t="str">
        <f>"ST PETER PRINCE OF APOSTLES"</f>
        <v>ST PETER PRINCE OF APOSTLES</v>
      </c>
      <c r="D238" t="s">
        <v>11</v>
      </c>
      <c r="E238" t="s">
        <v>287</v>
      </c>
      <c r="F238" t="s">
        <v>49</v>
      </c>
      <c r="G238">
        <v>78209</v>
      </c>
      <c r="H238">
        <v>2015</v>
      </c>
      <c r="I238" s="1">
        <v>11183.76</v>
      </c>
      <c r="J238" s="1">
        <v>27959.4</v>
      </c>
      <c r="K238" s="1">
        <v>5990.44</v>
      </c>
    </row>
    <row r="239" spans="1:11" x14ac:dyDescent="0.35">
      <c r="A239">
        <v>1026057</v>
      </c>
      <c r="B239">
        <v>2838545</v>
      </c>
      <c r="C239" t="str">
        <f>"ST PETER PRINCE OF APOSTLES"</f>
        <v>ST PETER PRINCE OF APOSTLES</v>
      </c>
      <c r="D239" t="s">
        <v>11</v>
      </c>
      <c r="E239" t="s">
        <v>287</v>
      </c>
      <c r="F239" t="s">
        <v>49</v>
      </c>
      <c r="G239">
        <v>78209</v>
      </c>
      <c r="H239">
        <v>2015</v>
      </c>
      <c r="I239" s="1">
        <v>7583.76</v>
      </c>
      <c r="J239" s="1">
        <v>18959.400000000001</v>
      </c>
    </row>
    <row r="240" spans="1:11" x14ac:dyDescent="0.35">
      <c r="A240">
        <v>1013779</v>
      </c>
      <c r="B240">
        <v>2751119</v>
      </c>
      <c r="C240" t="str">
        <f>"ST PETER THE APOSTLE SCHOOL"</f>
        <v>ST PETER THE APOSTLE SCHOOL</v>
      </c>
      <c r="D240" t="s">
        <v>11</v>
      </c>
      <c r="E240" t="s">
        <v>288</v>
      </c>
      <c r="F240" t="s">
        <v>15</v>
      </c>
      <c r="G240">
        <v>77021</v>
      </c>
      <c r="H240">
        <v>2015</v>
      </c>
      <c r="I240" s="1">
        <v>4087.49</v>
      </c>
      <c r="J240" s="1">
        <v>5109.3599999999997</v>
      </c>
      <c r="K240" s="1">
        <v>3824.02</v>
      </c>
    </row>
    <row r="241" spans="1:11" x14ac:dyDescent="0.35">
      <c r="A241">
        <v>998502</v>
      </c>
      <c r="B241">
        <v>2720795</v>
      </c>
      <c r="C241" t="str">
        <f>"ST PETER'S MEMORIAL SCHOOL"</f>
        <v>ST PETER'S MEMORIAL SCHOOL</v>
      </c>
      <c r="D241" t="s">
        <v>11</v>
      </c>
      <c r="E241" t="s">
        <v>289</v>
      </c>
      <c r="F241" t="s">
        <v>139</v>
      </c>
      <c r="G241">
        <v>78040</v>
      </c>
      <c r="H241">
        <v>2015</v>
      </c>
      <c r="I241" s="1">
        <v>808.61</v>
      </c>
      <c r="J241" s="1">
        <v>1010.76</v>
      </c>
      <c r="K241" s="1">
        <v>804</v>
      </c>
    </row>
    <row r="242" spans="1:11" x14ac:dyDescent="0.35">
      <c r="A242">
        <v>1032244</v>
      </c>
      <c r="B242">
        <v>2807947</v>
      </c>
      <c r="C242" t="str">
        <f>"ST PHILIP SCHOOL"</f>
        <v>ST PHILIP SCHOOL</v>
      </c>
      <c r="D242" t="s">
        <v>11</v>
      </c>
      <c r="E242" t="s">
        <v>290</v>
      </c>
      <c r="F242" t="s">
        <v>13</v>
      </c>
      <c r="G242">
        <v>75227</v>
      </c>
      <c r="H242">
        <v>2015</v>
      </c>
      <c r="I242" s="1">
        <v>6719.9</v>
      </c>
      <c r="J242" s="1">
        <v>8399.8799999999992</v>
      </c>
      <c r="K242" s="1">
        <v>6719.88</v>
      </c>
    </row>
    <row r="243" spans="1:11" x14ac:dyDescent="0.35">
      <c r="A243">
        <v>999005</v>
      </c>
      <c r="B243">
        <v>2755341</v>
      </c>
      <c r="C243" t="str">
        <f>"ST PHILIP SCHOOL"</f>
        <v>ST PHILIP SCHOOL</v>
      </c>
      <c r="D243" t="s">
        <v>11</v>
      </c>
      <c r="E243" t="s">
        <v>291</v>
      </c>
      <c r="F243" t="s">
        <v>292</v>
      </c>
      <c r="G243">
        <v>77437</v>
      </c>
      <c r="H243">
        <v>2015</v>
      </c>
      <c r="I243" s="1">
        <v>720</v>
      </c>
      <c r="J243" s="1">
        <v>1800</v>
      </c>
      <c r="K243" s="1">
        <v>720</v>
      </c>
    </row>
    <row r="244" spans="1:11" x14ac:dyDescent="0.35">
      <c r="A244">
        <v>1013791</v>
      </c>
      <c r="B244">
        <v>2751164</v>
      </c>
      <c r="C244" t="str">
        <f>"ST PIUS V SCHOOL"</f>
        <v>ST PIUS V SCHOOL</v>
      </c>
      <c r="D244" t="s">
        <v>11</v>
      </c>
      <c r="E244" t="s">
        <v>293</v>
      </c>
      <c r="F244" t="s">
        <v>294</v>
      </c>
      <c r="G244">
        <v>77506</v>
      </c>
      <c r="H244">
        <v>2015</v>
      </c>
      <c r="I244" s="1">
        <v>4588.6000000000004</v>
      </c>
      <c r="J244" s="1">
        <v>5098.4399999999996</v>
      </c>
      <c r="K244" s="1">
        <v>3881.2</v>
      </c>
    </row>
    <row r="245" spans="1:11" x14ac:dyDescent="0.35">
      <c r="A245">
        <v>1014590</v>
      </c>
      <c r="B245">
        <v>2753348</v>
      </c>
      <c r="C245" t="str">
        <f>"ST PIUS X HIGH SCHOOL"</f>
        <v>ST PIUS X HIGH SCHOOL</v>
      </c>
      <c r="D245" t="s">
        <v>11</v>
      </c>
      <c r="E245" t="s">
        <v>295</v>
      </c>
      <c r="F245" t="s">
        <v>15</v>
      </c>
      <c r="G245">
        <v>77091</v>
      </c>
      <c r="H245">
        <v>2015</v>
      </c>
      <c r="I245" s="1">
        <v>21093.72</v>
      </c>
      <c r="J245" s="1">
        <v>42187.44</v>
      </c>
      <c r="K245" s="1">
        <v>21093.72</v>
      </c>
    </row>
    <row r="246" spans="1:11" x14ac:dyDescent="0.35">
      <c r="A246">
        <v>1045982</v>
      </c>
      <c r="B246">
        <v>2854285</v>
      </c>
      <c r="C246" t="str">
        <f>"ST PIUS X SCHOOL"</f>
        <v>ST PIUS X SCHOOL</v>
      </c>
      <c r="D246" t="s">
        <v>11</v>
      </c>
      <c r="E246" t="s">
        <v>296</v>
      </c>
      <c r="F246" t="s">
        <v>13</v>
      </c>
      <c r="G246">
        <v>75228</v>
      </c>
      <c r="H246">
        <v>2015</v>
      </c>
      <c r="I246" s="1">
        <v>3956.83</v>
      </c>
      <c r="J246" s="1">
        <v>9892.08</v>
      </c>
      <c r="K246" s="1">
        <v>3956.83</v>
      </c>
    </row>
    <row r="247" spans="1:11" x14ac:dyDescent="0.35">
      <c r="A247">
        <v>1037156</v>
      </c>
      <c r="B247">
        <v>2823980</v>
      </c>
      <c r="C247" t="str">
        <f>"ST RAPHAEL'S ELEMENTARY SCHOOL"</f>
        <v>ST RAPHAEL'S ELEMENTARY SCHOOL</v>
      </c>
      <c r="D247" t="s">
        <v>11</v>
      </c>
      <c r="E247" t="s">
        <v>297</v>
      </c>
      <c r="F247" t="s">
        <v>51</v>
      </c>
      <c r="G247">
        <v>79925</v>
      </c>
      <c r="H247">
        <v>2015</v>
      </c>
      <c r="I247" s="1">
        <v>4560</v>
      </c>
      <c r="J247" s="1">
        <v>11400</v>
      </c>
      <c r="K247" s="1">
        <v>4180</v>
      </c>
    </row>
    <row r="248" spans="1:11" x14ac:dyDescent="0.35">
      <c r="A248">
        <v>1046993</v>
      </c>
      <c r="B248">
        <v>2857447</v>
      </c>
      <c r="C248" t="str">
        <f>"ST RITA SCHOOL"</f>
        <v>ST RITA SCHOOL</v>
      </c>
      <c r="D248" t="s">
        <v>11</v>
      </c>
      <c r="E248" t="s">
        <v>298</v>
      </c>
      <c r="F248" t="s">
        <v>13</v>
      </c>
      <c r="G248">
        <v>75244</v>
      </c>
      <c r="H248">
        <v>2015</v>
      </c>
      <c r="I248" s="1">
        <v>8808</v>
      </c>
      <c r="J248" s="1">
        <v>22020</v>
      </c>
      <c r="K248" s="1">
        <v>8808</v>
      </c>
    </row>
    <row r="249" spans="1:11" x14ac:dyDescent="0.35">
      <c r="A249">
        <v>1014601</v>
      </c>
      <c r="B249">
        <v>2828379</v>
      </c>
      <c r="C249" t="str">
        <f>"ST ROSE OF LIMA SCHOOL"</f>
        <v>ST ROSE OF LIMA SCHOOL</v>
      </c>
      <c r="D249" t="s">
        <v>11</v>
      </c>
      <c r="E249" t="s">
        <v>299</v>
      </c>
      <c r="F249" t="s">
        <v>15</v>
      </c>
      <c r="G249">
        <v>77018</v>
      </c>
      <c r="H249">
        <v>2015</v>
      </c>
      <c r="I249" s="1">
        <v>292.08</v>
      </c>
      <c r="J249" s="1">
        <v>730.2</v>
      </c>
      <c r="K249" s="1">
        <v>171.08</v>
      </c>
    </row>
    <row r="250" spans="1:11" x14ac:dyDescent="0.35">
      <c r="A250">
        <v>1014601</v>
      </c>
      <c r="B250">
        <v>2753391</v>
      </c>
      <c r="C250" t="str">
        <f>"ST ROSE OF LIMA SCHOOL"</f>
        <v>ST ROSE OF LIMA SCHOOL</v>
      </c>
      <c r="D250" t="s">
        <v>11</v>
      </c>
      <c r="E250" t="s">
        <v>299</v>
      </c>
      <c r="F250" t="s">
        <v>15</v>
      </c>
      <c r="G250">
        <v>77018</v>
      </c>
      <c r="H250">
        <v>2015</v>
      </c>
      <c r="I250" s="1">
        <v>623.52</v>
      </c>
      <c r="J250" s="1">
        <v>1558.8</v>
      </c>
      <c r="K250" s="1">
        <v>284</v>
      </c>
    </row>
    <row r="251" spans="1:11" x14ac:dyDescent="0.35">
      <c r="A251">
        <v>1014604</v>
      </c>
      <c r="B251">
        <v>2753399</v>
      </c>
      <c r="C251" t="str">
        <f>"ST THERESA ELEMENTARY SCHOOL"</f>
        <v>ST THERESA ELEMENTARY SCHOOL</v>
      </c>
      <c r="D251" t="s">
        <v>11</v>
      </c>
      <c r="E251" t="s">
        <v>300</v>
      </c>
      <c r="F251" t="s">
        <v>15</v>
      </c>
      <c r="G251">
        <v>77007</v>
      </c>
      <c r="H251">
        <v>2015</v>
      </c>
      <c r="I251" s="1">
        <v>534.29</v>
      </c>
      <c r="J251" s="1">
        <v>1335.72</v>
      </c>
      <c r="K251" s="1">
        <v>534.29</v>
      </c>
    </row>
    <row r="252" spans="1:11" x14ac:dyDescent="0.35">
      <c r="A252">
        <v>1048968</v>
      </c>
      <c r="B252">
        <v>2864551</v>
      </c>
      <c r="C252" t="str">
        <f>"ST THERESA'S SCHOOL"</f>
        <v>ST THERESA'S SCHOOL</v>
      </c>
      <c r="D252" t="s">
        <v>11</v>
      </c>
      <c r="E252" t="s">
        <v>301</v>
      </c>
      <c r="F252" t="s">
        <v>33</v>
      </c>
      <c r="G252">
        <v>78731</v>
      </c>
      <c r="H252">
        <v>2015</v>
      </c>
      <c r="I252" s="1">
        <v>4029.65</v>
      </c>
      <c r="J252" s="1">
        <v>20148.240000000002</v>
      </c>
      <c r="K252" s="1">
        <v>2442.16</v>
      </c>
    </row>
    <row r="253" spans="1:11" x14ac:dyDescent="0.35">
      <c r="A253">
        <v>1047183</v>
      </c>
      <c r="B253">
        <v>2858442</v>
      </c>
      <c r="C253" t="str">
        <f>"ST THOMAS AQUINAS SCHOOL"</f>
        <v>ST THOMAS AQUINAS SCHOOL</v>
      </c>
      <c r="D253" t="s">
        <v>11</v>
      </c>
      <c r="E253" t="s">
        <v>302</v>
      </c>
      <c r="F253" t="s">
        <v>13</v>
      </c>
      <c r="G253">
        <v>75214</v>
      </c>
      <c r="H253">
        <v>2015</v>
      </c>
      <c r="I253" s="1">
        <v>10839.26</v>
      </c>
      <c r="J253" s="1">
        <v>27098.16</v>
      </c>
      <c r="K253" s="1">
        <v>10839.24</v>
      </c>
    </row>
    <row r="254" spans="1:11" x14ac:dyDescent="0.35">
      <c r="A254">
        <v>1047183</v>
      </c>
      <c r="B254">
        <v>2858491</v>
      </c>
      <c r="C254" t="str">
        <f>"ST THOMAS AQUINAS SCHOOL"</f>
        <v>ST THOMAS AQUINAS SCHOOL</v>
      </c>
      <c r="D254" t="s">
        <v>11</v>
      </c>
      <c r="E254" t="s">
        <v>302</v>
      </c>
      <c r="F254" t="s">
        <v>13</v>
      </c>
      <c r="G254">
        <v>75214</v>
      </c>
      <c r="H254">
        <v>2015</v>
      </c>
      <c r="I254" s="1">
        <v>4784.0600000000004</v>
      </c>
      <c r="J254" s="1">
        <v>11960.16</v>
      </c>
      <c r="K254" s="1">
        <v>4784.04</v>
      </c>
    </row>
    <row r="255" spans="1:11" x14ac:dyDescent="0.35">
      <c r="A255">
        <v>1015295</v>
      </c>
      <c r="B255">
        <v>2755373</v>
      </c>
      <c r="C255" t="str">
        <f>"ST THOMAS MORE SCHOOL"</f>
        <v>ST THOMAS MORE SCHOOL</v>
      </c>
      <c r="D255" t="s">
        <v>11</v>
      </c>
      <c r="E255" t="s">
        <v>303</v>
      </c>
      <c r="F255" t="s">
        <v>15</v>
      </c>
      <c r="G255">
        <v>77096</v>
      </c>
      <c r="H255">
        <v>2015</v>
      </c>
      <c r="I255" s="1">
        <v>1076.5</v>
      </c>
      <c r="J255" s="1">
        <v>2691.24</v>
      </c>
      <c r="K255" s="1">
        <v>737.98</v>
      </c>
    </row>
    <row r="256" spans="1:11" x14ac:dyDescent="0.35">
      <c r="A256">
        <v>1015817</v>
      </c>
      <c r="B256">
        <v>2756919</v>
      </c>
      <c r="C256" t="str">
        <f>"ST VINCENT DE PAUL SCHOOL"</f>
        <v>ST VINCENT DE PAUL SCHOOL</v>
      </c>
      <c r="D256" t="s">
        <v>11</v>
      </c>
      <c r="E256" t="s">
        <v>304</v>
      </c>
      <c r="F256" t="s">
        <v>15</v>
      </c>
      <c r="G256">
        <v>77025</v>
      </c>
      <c r="H256">
        <v>2015</v>
      </c>
      <c r="I256" s="1">
        <v>531.02</v>
      </c>
      <c r="J256" s="1">
        <v>1327.56</v>
      </c>
      <c r="K256" s="1">
        <v>531.02</v>
      </c>
    </row>
    <row r="257" spans="1:11" x14ac:dyDescent="0.35">
      <c r="A257">
        <v>1015817</v>
      </c>
      <c r="B257">
        <v>2756910</v>
      </c>
      <c r="C257" t="str">
        <f>"ST VINCENT DE PAUL SCHOOL"</f>
        <v>ST VINCENT DE PAUL SCHOOL</v>
      </c>
      <c r="D257" t="s">
        <v>11</v>
      </c>
      <c r="E257" t="s">
        <v>304</v>
      </c>
      <c r="F257" t="s">
        <v>15</v>
      </c>
      <c r="G257">
        <v>77025</v>
      </c>
      <c r="H257">
        <v>2015</v>
      </c>
      <c r="I257" s="1">
        <v>1320</v>
      </c>
      <c r="J257" s="1">
        <v>3300</v>
      </c>
      <c r="K257" s="1">
        <v>1320</v>
      </c>
    </row>
    <row r="258" spans="1:11" x14ac:dyDescent="0.35">
      <c r="A258">
        <v>1015817</v>
      </c>
      <c r="B258">
        <v>2856827</v>
      </c>
      <c r="C258" t="str">
        <f>"ST VINCENT DE PAUL SCHOOL"</f>
        <v>ST VINCENT DE PAUL SCHOOL</v>
      </c>
      <c r="D258" t="s">
        <v>11</v>
      </c>
      <c r="E258" t="s">
        <v>304</v>
      </c>
      <c r="F258" t="s">
        <v>15</v>
      </c>
      <c r="G258">
        <v>77025</v>
      </c>
      <c r="H258">
        <v>2015</v>
      </c>
      <c r="I258" s="1">
        <v>710.88</v>
      </c>
      <c r="J258" s="1">
        <v>1777.2</v>
      </c>
      <c r="K258" s="1">
        <v>710.88</v>
      </c>
    </row>
    <row r="259" spans="1:11" x14ac:dyDescent="0.35">
      <c r="A259">
        <v>1023365</v>
      </c>
      <c r="B259">
        <v>2783886</v>
      </c>
      <c r="C259" t="str">
        <f>"ST. GABRIELS CATHOLIC SCHOOL"</f>
        <v>ST. GABRIELS CATHOLIC SCHOOL</v>
      </c>
      <c r="D259" t="s">
        <v>11</v>
      </c>
      <c r="E259" t="s">
        <v>305</v>
      </c>
      <c r="F259" t="s">
        <v>33</v>
      </c>
      <c r="G259">
        <v>78735</v>
      </c>
      <c r="H259">
        <v>2015</v>
      </c>
      <c r="I259" s="1">
        <v>7641.31</v>
      </c>
      <c r="J259" s="1">
        <v>19103.28</v>
      </c>
      <c r="K259" s="1">
        <v>7641.31</v>
      </c>
    </row>
    <row r="260" spans="1:11" x14ac:dyDescent="0.35">
      <c r="A260">
        <v>1032186</v>
      </c>
      <c r="B260">
        <v>2807850</v>
      </c>
      <c r="C260" t="str">
        <f>"ST. JOSEPH CATHOLIC SCHOOL"</f>
        <v>ST. JOSEPH CATHOLIC SCHOOL</v>
      </c>
      <c r="D260" t="s">
        <v>11</v>
      </c>
      <c r="E260" t="s">
        <v>306</v>
      </c>
      <c r="F260" t="s">
        <v>307</v>
      </c>
      <c r="G260">
        <v>77803</v>
      </c>
      <c r="H260">
        <v>2015</v>
      </c>
      <c r="I260" s="1">
        <v>383.76</v>
      </c>
      <c r="J260" s="1">
        <v>959.4</v>
      </c>
      <c r="K260" s="1">
        <v>383.76</v>
      </c>
    </row>
    <row r="261" spans="1:11" x14ac:dyDescent="0.35">
      <c r="A261">
        <v>1032186</v>
      </c>
      <c r="B261">
        <v>2807806</v>
      </c>
      <c r="C261" t="str">
        <f>"ST. JOSEPH CATHOLIC SCHOOL"</f>
        <v>ST. JOSEPH CATHOLIC SCHOOL</v>
      </c>
      <c r="D261" t="s">
        <v>11</v>
      </c>
      <c r="E261" t="s">
        <v>306</v>
      </c>
      <c r="F261" t="s">
        <v>307</v>
      </c>
      <c r="G261">
        <v>77803</v>
      </c>
      <c r="H261">
        <v>2015</v>
      </c>
      <c r="I261" s="1">
        <v>1920</v>
      </c>
      <c r="J261" s="1">
        <v>4800</v>
      </c>
      <c r="K261" s="1">
        <v>1920</v>
      </c>
    </row>
    <row r="262" spans="1:11" x14ac:dyDescent="0.35">
      <c r="A262">
        <v>1013697</v>
      </c>
      <c r="B262">
        <v>2750875</v>
      </c>
      <c r="C262" t="str">
        <f>"ST. MARY OF THE PURIFICATION MONTESSORI SCHOOL"</f>
        <v>ST. MARY OF THE PURIFICATION MONTESSORI SCHOOL</v>
      </c>
      <c r="D262" t="s">
        <v>11</v>
      </c>
      <c r="E262" t="s">
        <v>308</v>
      </c>
      <c r="F262" t="s">
        <v>15</v>
      </c>
      <c r="G262">
        <v>77004</v>
      </c>
      <c r="H262">
        <v>2015</v>
      </c>
      <c r="I262" s="1">
        <v>714.19</v>
      </c>
      <c r="J262" s="1">
        <v>1785.48</v>
      </c>
      <c r="K262" s="1">
        <v>700</v>
      </c>
    </row>
    <row r="263" spans="1:11" x14ac:dyDescent="0.35">
      <c r="A263">
        <v>1007832</v>
      </c>
      <c r="B263">
        <v>2736242</v>
      </c>
      <c r="C263" t="str">
        <f>"ST. MATTHEW CATHOLIC SCHOOL"</f>
        <v>ST. MATTHEW CATHOLIC SCHOOL</v>
      </c>
      <c r="D263" t="s">
        <v>11</v>
      </c>
      <c r="E263" t="s">
        <v>309</v>
      </c>
      <c r="F263" t="s">
        <v>51</v>
      </c>
      <c r="G263">
        <v>79922</v>
      </c>
      <c r="H263">
        <v>2015</v>
      </c>
      <c r="I263" s="1">
        <v>719.76</v>
      </c>
      <c r="J263" s="1">
        <v>1799.4</v>
      </c>
      <c r="K263" s="1">
        <v>719.76</v>
      </c>
    </row>
    <row r="264" spans="1:11" x14ac:dyDescent="0.35">
      <c r="A264">
        <v>1015130</v>
      </c>
      <c r="B264">
        <v>2754819</v>
      </c>
      <c r="C264" t="str">
        <f>"ST. THERESA ACADEMY"</f>
        <v>ST. THERESA ACADEMY</v>
      </c>
      <c r="D264" t="s">
        <v>11</v>
      </c>
      <c r="E264" t="s">
        <v>310</v>
      </c>
      <c r="F264" t="s">
        <v>253</v>
      </c>
      <c r="G264">
        <v>77478</v>
      </c>
      <c r="H264">
        <v>2015</v>
      </c>
      <c r="I264" s="1">
        <v>919.92</v>
      </c>
      <c r="J264" s="1">
        <v>1839.84</v>
      </c>
      <c r="K264" s="1">
        <v>919.92</v>
      </c>
    </row>
    <row r="265" spans="1:11" x14ac:dyDescent="0.35">
      <c r="A265">
        <v>1048093</v>
      </c>
      <c r="B265">
        <v>2861385</v>
      </c>
      <c r="C265" t="str">
        <f>"STONEHILL CHRISTIAN ACADEMY"</f>
        <v>STONEHILL CHRISTIAN ACADEMY</v>
      </c>
      <c r="D265" t="s">
        <v>11</v>
      </c>
      <c r="E265" t="s">
        <v>311</v>
      </c>
      <c r="F265" t="s">
        <v>312</v>
      </c>
      <c r="G265">
        <v>78660</v>
      </c>
      <c r="H265">
        <v>2015</v>
      </c>
      <c r="I265" s="1">
        <v>13500</v>
      </c>
      <c r="J265" s="1">
        <v>15000</v>
      </c>
      <c r="K265" s="1">
        <v>9332.64</v>
      </c>
    </row>
    <row r="266" spans="1:11" x14ac:dyDescent="0.35">
      <c r="A266">
        <v>1046530</v>
      </c>
      <c r="B266">
        <v>2856288</v>
      </c>
      <c r="C266" t="str">
        <f>"SUGAR GROVE CHRISTIAN SCHOOL"</f>
        <v>SUGAR GROVE CHRISTIAN SCHOOL</v>
      </c>
      <c r="D266" t="s">
        <v>11</v>
      </c>
      <c r="E266" t="s">
        <v>313</v>
      </c>
      <c r="F266" t="s">
        <v>314</v>
      </c>
      <c r="G266">
        <v>77477</v>
      </c>
      <c r="H266">
        <v>2015</v>
      </c>
      <c r="I266" s="1">
        <v>1168.2</v>
      </c>
      <c r="J266" s="1">
        <v>7788</v>
      </c>
      <c r="K266" s="1">
        <v>778.8</v>
      </c>
    </row>
    <row r="267" spans="1:11" x14ac:dyDescent="0.35">
      <c r="A267">
        <v>1024135</v>
      </c>
      <c r="B267">
        <v>2870502</v>
      </c>
      <c r="C267" t="str">
        <f>"SUMMIT INTERNATIONAL PREPARATORY SCHOOL"</f>
        <v>SUMMIT INTERNATIONAL PREPARATORY SCHOOL</v>
      </c>
      <c r="D267" t="s">
        <v>11</v>
      </c>
      <c r="E267" t="s">
        <v>315</v>
      </c>
      <c r="F267" t="s">
        <v>120</v>
      </c>
      <c r="G267">
        <v>76011</v>
      </c>
      <c r="H267">
        <v>2015</v>
      </c>
      <c r="I267" s="1">
        <v>34909.919999999998</v>
      </c>
      <c r="J267" s="1">
        <v>43637.4</v>
      </c>
      <c r="K267" s="1">
        <v>34909.919999999998</v>
      </c>
    </row>
    <row r="268" spans="1:11" x14ac:dyDescent="0.35">
      <c r="A268">
        <v>1026060</v>
      </c>
      <c r="B268">
        <v>2830316</v>
      </c>
      <c r="C268" t="str">
        <f>"TEXAS MILITARY INSTITUTE"</f>
        <v>TEXAS MILITARY INSTITUTE</v>
      </c>
      <c r="D268" t="s">
        <v>11</v>
      </c>
      <c r="E268" t="s">
        <v>316</v>
      </c>
      <c r="F268" t="s">
        <v>49</v>
      </c>
      <c r="G268">
        <v>78257</v>
      </c>
      <c r="H268">
        <v>2015</v>
      </c>
      <c r="I268" s="1">
        <v>4256.6899999999996</v>
      </c>
      <c r="J268" s="1">
        <v>10641.72</v>
      </c>
      <c r="K268" s="1">
        <v>4256.6400000000003</v>
      </c>
    </row>
    <row r="269" spans="1:11" x14ac:dyDescent="0.35">
      <c r="A269">
        <v>1022159</v>
      </c>
      <c r="B269">
        <v>2773929</v>
      </c>
      <c r="C269" t="str">
        <f>"TEXAS SERENITY ACADEMY"</f>
        <v>TEXAS SERENITY ACADEMY</v>
      </c>
      <c r="D269" t="s">
        <v>11</v>
      </c>
      <c r="E269" t="s">
        <v>317</v>
      </c>
      <c r="F269" t="s">
        <v>15</v>
      </c>
      <c r="G269">
        <v>77037</v>
      </c>
      <c r="H269">
        <v>2015</v>
      </c>
      <c r="I269" s="1">
        <v>330.8</v>
      </c>
      <c r="J269" s="1">
        <v>367.56</v>
      </c>
    </row>
    <row r="270" spans="1:11" x14ac:dyDescent="0.35">
      <c r="A270">
        <v>1022159</v>
      </c>
      <c r="B270">
        <v>2773980</v>
      </c>
      <c r="C270" t="str">
        <f>"TEXAS SERENITY ACADEMY"</f>
        <v>TEXAS SERENITY ACADEMY</v>
      </c>
      <c r="D270" t="s">
        <v>11</v>
      </c>
      <c r="E270" t="s">
        <v>317</v>
      </c>
      <c r="F270" t="s">
        <v>15</v>
      </c>
      <c r="G270">
        <v>77037</v>
      </c>
      <c r="H270">
        <v>2015</v>
      </c>
      <c r="I270" s="1">
        <v>28443.74</v>
      </c>
      <c r="J270" s="1">
        <v>31604.16</v>
      </c>
      <c r="K270" s="1">
        <v>16958.169999999998</v>
      </c>
    </row>
    <row r="271" spans="1:11" x14ac:dyDescent="0.35">
      <c r="A271">
        <v>1026817</v>
      </c>
      <c r="B271">
        <v>2788028</v>
      </c>
      <c r="C271" t="str">
        <f>"TEXAS TORAH INSTITUTE"</f>
        <v>TEXAS TORAH INSTITUTE</v>
      </c>
      <c r="D271" t="s">
        <v>11</v>
      </c>
      <c r="E271" t="s">
        <v>318</v>
      </c>
      <c r="F271" t="s">
        <v>13</v>
      </c>
      <c r="G271">
        <v>75252</v>
      </c>
      <c r="H271">
        <v>2015</v>
      </c>
      <c r="I271" s="1">
        <v>6750</v>
      </c>
      <c r="J271" s="1">
        <v>7500</v>
      </c>
      <c r="K271" s="1">
        <v>6514.99</v>
      </c>
    </row>
    <row r="272" spans="1:11" x14ac:dyDescent="0.35">
      <c r="A272">
        <v>1014185</v>
      </c>
      <c r="B272">
        <v>2752214</v>
      </c>
      <c r="C272" t="str">
        <f>"THE SHLENKER SCHOOL"</f>
        <v>THE SHLENKER SCHOOL</v>
      </c>
      <c r="D272" t="s">
        <v>11</v>
      </c>
      <c r="E272" t="s">
        <v>319</v>
      </c>
      <c r="F272" t="s">
        <v>15</v>
      </c>
      <c r="G272">
        <v>77096</v>
      </c>
      <c r="H272">
        <v>2015</v>
      </c>
      <c r="I272" s="1">
        <v>0</v>
      </c>
      <c r="J272" s="1">
        <v>0</v>
      </c>
    </row>
    <row r="273" spans="1:11" x14ac:dyDescent="0.35">
      <c r="A273">
        <v>1036515</v>
      </c>
      <c r="B273">
        <v>2821716</v>
      </c>
      <c r="C273" t="str">
        <f>"THE SHLENKER SCHOOL"</f>
        <v>THE SHLENKER SCHOOL</v>
      </c>
      <c r="D273" t="s">
        <v>11</v>
      </c>
      <c r="E273" t="s">
        <v>319</v>
      </c>
      <c r="F273" t="s">
        <v>15</v>
      </c>
      <c r="G273">
        <v>77096</v>
      </c>
      <c r="H273">
        <v>2015</v>
      </c>
      <c r="I273" s="1">
        <v>3355.2</v>
      </c>
      <c r="J273" s="1">
        <v>8388</v>
      </c>
      <c r="K273" s="1">
        <v>1227.1600000000001</v>
      </c>
    </row>
    <row r="274" spans="1:11" x14ac:dyDescent="0.35">
      <c r="A274">
        <v>1029779</v>
      </c>
      <c r="B274">
        <v>2798154</v>
      </c>
      <c r="C274" t="str">
        <f>"TORAH SCHOOL OF DALLAS"</f>
        <v>TORAH SCHOOL OF DALLAS</v>
      </c>
      <c r="D274" t="s">
        <v>11</v>
      </c>
      <c r="E274" t="s">
        <v>320</v>
      </c>
      <c r="F274" t="s">
        <v>13</v>
      </c>
      <c r="G274">
        <v>75252</v>
      </c>
      <c r="H274">
        <v>2015</v>
      </c>
      <c r="I274" s="1">
        <v>0</v>
      </c>
      <c r="J274" s="1">
        <v>0</v>
      </c>
    </row>
    <row r="275" spans="1:11" x14ac:dyDescent="0.35">
      <c r="A275">
        <v>1029779</v>
      </c>
      <c r="B275">
        <v>2798145</v>
      </c>
      <c r="C275" t="str">
        <f>"TORAH SCHOOL OF DALLAS"</f>
        <v>TORAH SCHOOL OF DALLAS</v>
      </c>
      <c r="D275" t="s">
        <v>11</v>
      </c>
      <c r="E275" t="s">
        <v>320</v>
      </c>
      <c r="F275" t="s">
        <v>13</v>
      </c>
      <c r="G275">
        <v>75252</v>
      </c>
      <c r="H275">
        <v>2015</v>
      </c>
      <c r="I275" s="1">
        <v>0</v>
      </c>
      <c r="J275" s="1">
        <v>0</v>
      </c>
    </row>
    <row r="276" spans="1:11" x14ac:dyDescent="0.35">
      <c r="A276">
        <v>1031057</v>
      </c>
      <c r="B276">
        <v>2803377</v>
      </c>
      <c r="C276" t="str">
        <f>"TORAH SCHOOL OF DALLAS"</f>
        <v>TORAH SCHOOL OF DALLAS</v>
      </c>
      <c r="D276" t="s">
        <v>11</v>
      </c>
      <c r="E276" t="s">
        <v>320</v>
      </c>
      <c r="F276" t="s">
        <v>13</v>
      </c>
      <c r="G276">
        <v>75252</v>
      </c>
      <c r="H276">
        <v>2015</v>
      </c>
      <c r="I276" s="1">
        <v>0</v>
      </c>
      <c r="J276" s="1">
        <v>0</v>
      </c>
    </row>
    <row r="277" spans="1:11" x14ac:dyDescent="0.35">
      <c r="A277">
        <v>1029754</v>
      </c>
      <c r="B277">
        <v>2798082</v>
      </c>
      <c r="C277" t="str">
        <f>"TORAH SCHOOL OF DALLAS"</f>
        <v>TORAH SCHOOL OF DALLAS</v>
      </c>
      <c r="D277" t="s">
        <v>11</v>
      </c>
      <c r="E277" t="s">
        <v>320</v>
      </c>
      <c r="F277" t="s">
        <v>13</v>
      </c>
      <c r="G277">
        <v>75252</v>
      </c>
      <c r="H277">
        <v>2015</v>
      </c>
      <c r="I277" s="1">
        <v>0</v>
      </c>
      <c r="J277" s="1">
        <v>0</v>
      </c>
    </row>
    <row r="278" spans="1:11" x14ac:dyDescent="0.35">
      <c r="A278">
        <v>1030483</v>
      </c>
      <c r="B278">
        <v>2820125</v>
      </c>
      <c r="C278" t="str">
        <f>"TRANSFORMATIVE  CHARTER ACADEMY"</f>
        <v>TRANSFORMATIVE  CHARTER ACADEMY</v>
      </c>
      <c r="D278" t="s">
        <v>11</v>
      </c>
      <c r="E278" t="s">
        <v>321</v>
      </c>
      <c r="F278" t="s">
        <v>251</v>
      </c>
      <c r="G278">
        <v>76541</v>
      </c>
      <c r="H278">
        <v>2015</v>
      </c>
      <c r="I278" s="1">
        <v>12960</v>
      </c>
      <c r="J278" s="1">
        <v>16200</v>
      </c>
    </row>
    <row r="279" spans="1:11" x14ac:dyDescent="0.35">
      <c r="A279">
        <v>1014502</v>
      </c>
      <c r="B279">
        <v>2757792</v>
      </c>
      <c r="C279" t="str">
        <f>"TRINITY SCHOOL OF MIDLAND"</f>
        <v>TRINITY SCHOOL OF MIDLAND</v>
      </c>
      <c r="D279" t="s">
        <v>11</v>
      </c>
      <c r="E279" t="s">
        <v>322</v>
      </c>
      <c r="F279" t="s">
        <v>323</v>
      </c>
      <c r="G279">
        <v>79707</v>
      </c>
      <c r="H279">
        <v>2015</v>
      </c>
      <c r="I279" s="1">
        <v>0</v>
      </c>
      <c r="J279" s="1">
        <v>0</v>
      </c>
    </row>
    <row r="280" spans="1:11" x14ac:dyDescent="0.35">
      <c r="A280">
        <v>1014502</v>
      </c>
      <c r="B280">
        <v>2757795</v>
      </c>
      <c r="C280" t="str">
        <f>"TRINITY SCHOOL OF MIDLAND"</f>
        <v>TRINITY SCHOOL OF MIDLAND</v>
      </c>
      <c r="D280" t="s">
        <v>11</v>
      </c>
      <c r="E280" t="s">
        <v>322</v>
      </c>
      <c r="F280" t="s">
        <v>323</v>
      </c>
      <c r="G280">
        <v>79707</v>
      </c>
      <c r="H280">
        <v>2015</v>
      </c>
      <c r="I280" s="1">
        <v>0</v>
      </c>
      <c r="J280" s="1">
        <v>0</v>
      </c>
    </row>
    <row r="281" spans="1:11" x14ac:dyDescent="0.35">
      <c r="A281">
        <v>1037100</v>
      </c>
      <c r="B281">
        <v>2823706</v>
      </c>
      <c r="C281" t="str">
        <f>"TRINITY SCHOOL OF MIDLAND"</f>
        <v>TRINITY SCHOOL OF MIDLAND</v>
      </c>
      <c r="D281" t="s">
        <v>11</v>
      </c>
      <c r="E281" t="s">
        <v>322</v>
      </c>
      <c r="F281" t="s">
        <v>323</v>
      </c>
      <c r="G281">
        <v>79707</v>
      </c>
      <c r="H281">
        <v>2015</v>
      </c>
      <c r="I281" s="1">
        <v>3900</v>
      </c>
      <c r="J281" s="1">
        <v>19500</v>
      </c>
      <c r="K281" s="1">
        <v>3900</v>
      </c>
    </row>
    <row r="282" spans="1:11" x14ac:dyDescent="0.35">
      <c r="A282">
        <v>1037100</v>
      </c>
      <c r="B282">
        <v>2823703</v>
      </c>
      <c r="C282" t="str">
        <f>"TRINITY SCHOOL OF MIDLAND"</f>
        <v>TRINITY SCHOOL OF MIDLAND</v>
      </c>
      <c r="D282" t="s">
        <v>11</v>
      </c>
      <c r="E282" t="s">
        <v>322</v>
      </c>
      <c r="F282" t="s">
        <v>323</v>
      </c>
      <c r="G282">
        <v>79707</v>
      </c>
      <c r="H282">
        <v>2015</v>
      </c>
      <c r="I282" s="1">
        <v>491.88</v>
      </c>
      <c r="J282" s="1">
        <v>2459.4</v>
      </c>
      <c r="K282" s="1">
        <v>327.92</v>
      </c>
    </row>
    <row r="283" spans="1:11" x14ac:dyDescent="0.35">
      <c r="A283">
        <v>997060</v>
      </c>
      <c r="B283">
        <v>2719151</v>
      </c>
      <c r="C283" t="str">
        <f>"TRUE CROSS SCHOOL"</f>
        <v>TRUE CROSS SCHOOL</v>
      </c>
      <c r="D283" t="s">
        <v>11</v>
      </c>
      <c r="E283" t="s">
        <v>324</v>
      </c>
      <c r="F283" t="s">
        <v>325</v>
      </c>
      <c r="G283">
        <v>77539</v>
      </c>
      <c r="H283">
        <v>2015</v>
      </c>
      <c r="I283" s="1">
        <v>623.52</v>
      </c>
      <c r="J283" s="1">
        <v>1558.8</v>
      </c>
      <c r="K283" s="1">
        <v>623.52</v>
      </c>
    </row>
    <row r="284" spans="1:11" x14ac:dyDescent="0.35">
      <c r="A284">
        <v>1029888</v>
      </c>
      <c r="B284">
        <v>2808233</v>
      </c>
      <c r="C284" t="str">
        <f>"TYLER STREET CHRISTIAN ACAD"</f>
        <v>TYLER STREET CHRISTIAN ACAD</v>
      </c>
      <c r="D284" t="s">
        <v>11</v>
      </c>
      <c r="E284" t="s">
        <v>326</v>
      </c>
      <c r="F284" t="s">
        <v>13</v>
      </c>
      <c r="G284">
        <v>75208</v>
      </c>
      <c r="H284">
        <v>2015</v>
      </c>
      <c r="I284" s="1">
        <v>9600</v>
      </c>
      <c r="J284" s="1">
        <v>19200</v>
      </c>
      <c r="K284" s="1">
        <v>4800</v>
      </c>
    </row>
    <row r="285" spans="1:11" x14ac:dyDescent="0.35">
      <c r="A285">
        <v>1020420</v>
      </c>
      <c r="B285">
        <v>2768730</v>
      </c>
      <c r="C285" t="str">
        <f>"UME PREPARATORY ACADEMY"</f>
        <v>UME PREPARATORY ACADEMY</v>
      </c>
      <c r="D285" t="s">
        <v>11</v>
      </c>
      <c r="E285" t="s">
        <v>327</v>
      </c>
      <c r="F285" t="s">
        <v>13</v>
      </c>
      <c r="G285">
        <v>75236</v>
      </c>
      <c r="H285">
        <v>2015</v>
      </c>
      <c r="I285" s="1">
        <v>13330.08</v>
      </c>
      <c r="J285" s="1">
        <v>22216.799999999999</v>
      </c>
      <c r="K285" s="1">
        <v>13330.08</v>
      </c>
    </row>
    <row r="286" spans="1:11" x14ac:dyDescent="0.35">
      <c r="A286">
        <v>1024158</v>
      </c>
      <c r="B286">
        <v>2870568</v>
      </c>
      <c r="C286" t="str">
        <f>"UPLIFT GRAND PREPARATORY"</f>
        <v>UPLIFT GRAND PREPARATORY</v>
      </c>
      <c r="D286" t="s">
        <v>11</v>
      </c>
      <c r="E286" t="s">
        <v>328</v>
      </c>
      <c r="F286" t="s">
        <v>329</v>
      </c>
      <c r="G286">
        <v>75020</v>
      </c>
      <c r="H286">
        <v>2015</v>
      </c>
      <c r="I286" s="1">
        <v>18556.990000000002</v>
      </c>
      <c r="J286" s="1">
        <v>23196.240000000002</v>
      </c>
      <c r="K286" s="1">
        <v>18556.990000000002</v>
      </c>
    </row>
    <row r="287" spans="1:11" x14ac:dyDescent="0.35">
      <c r="A287">
        <v>1024196</v>
      </c>
      <c r="B287">
        <v>2870631</v>
      </c>
      <c r="C287" t="str">
        <f>"UPLIFT TRIUMPH"</f>
        <v>UPLIFT TRIUMPH</v>
      </c>
      <c r="D287" t="s">
        <v>11</v>
      </c>
      <c r="E287" t="s">
        <v>330</v>
      </c>
      <c r="F287" t="s">
        <v>13</v>
      </c>
      <c r="G287">
        <v>75220</v>
      </c>
      <c r="H287">
        <v>2015</v>
      </c>
      <c r="I287" s="1">
        <v>24684.7</v>
      </c>
      <c r="J287" s="1">
        <v>27427.439999999999</v>
      </c>
      <c r="K287" s="1">
        <v>24684.7</v>
      </c>
    </row>
    <row r="288" spans="1:11" x14ac:dyDescent="0.35">
      <c r="A288">
        <v>1025605</v>
      </c>
      <c r="B288">
        <v>2785321</v>
      </c>
      <c r="C288" t="str">
        <f>"VICTORY PREP ACADEMY"</f>
        <v>VICTORY PREP ACADEMY</v>
      </c>
      <c r="D288" t="s">
        <v>11</v>
      </c>
      <c r="E288" t="s">
        <v>331</v>
      </c>
      <c r="F288" t="s">
        <v>15</v>
      </c>
      <c r="G288">
        <v>77026</v>
      </c>
      <c r="H288">
        <v>2015</v>
      </c>
      <c r="I288" s="1">
        <v>2286.91</v>
      </c>
      <c r="J288" s="1">
        <v>2541.0100000000002</v>
      </c>
    </row>
    <row r="289" spans="1:11" x14ac:dyDescent="0.35">
      <c r="A289">
        <v>1024199</v>
      </c>
      <c r="B289">
        <v>2870706</v>
      </c>
      <c r="C289" t="str">
        <f>"WILLIAMS PREPARATORY SCHOOL"</f>
        <v>WILLIAMS PREPARATORY SCHOOL</v>
      </c>
      <c r="D289" t="s">
        <v>11</v>
      </c>
      <c r="E289" t="s">
        <v>332</v>
      </c>
      <c r="F289" t="s">
        <v>13</v>
      </c>
      <c r="G289">
        <v>75235</v>
      </c>
      <c r="H289">
        <v>2015</v>
      </c>
      <c r="I289" s="1">
        <v>28771.200000000001</v>
      </c>
      <c r="J289" s="1">
        <v>31968</v>
      </c>
      <c r="K289" s="1">
        <v>28771.200000000001</v>
      </c>
    </row>
    <row r="290" spans="1:11" x14ac:dyDescent="0.35">
      <c r="A290">
        <v>996385</v>
      </c>
      <c r="B290">
        <v>2718206</v>
      </c>
      <c r="C290" t="str">
        <f>"YELLOWSTONE ACADEMY"</f>
        <v>YELLOWSTONE ACADEMY</v>
      </c>
      <c r="D290" t="s">
        <v>11</v>
      </c>
      <c r="E290" t="s">
        <v>333</v>
      </c>
      <c r="F290" t="s">
        <v>15</v>
      </c>
      <c r="G290">
        <v>77004</v>
      </c>
      <c r="H290">
        <v>2015</v>
      </c>
      <c r="I290" s="1">
        <v>43092</v>
      </c>
      <c r="J290" s="1">
        <v>47880</v>
      </c>
      <c r="K290" s="1">
        <v>43092</v>
      </c>
    </row>
    <row r="291" spans="1:11" x14ac:dyDescent="0.35">
      <c r="A291">
        <v>1002134</v>
      </c>
      <c r="B291">
        <v>2795112</v>
      </c>
      <c r="C291" t="str">
        <f>"ZOE LEARNING ACADEMY"</f>
        <v>ZOE LEARNING ACADEMY</v>
      </c>
      <c r="D291" t="s">
        <v>11</v>
      </c>
      <c r="E291" t="s">
        <v>334</v>
      </c>
      <c r="F291" t="s">
        <v>15</v>
      </c>
      <c r="G291">
        <v>77021</v>
      </c>
      <c r="H291">
        <v>2015</v>
      </c>
      <c r="I291" s="1">
        <v>12114.68</v>
      </c>
      <c r="J291" s="1">
        <v>13460.76</v>
      </c>
      <c r="K291" s="1">
        <v>6800.76</v>
      </c>
    </row>
    <row r="292" spans="1:11" x14ac:dyDescent="0.35">
      <c r="A292">
        <v>1002134</v>
      </c>
      <c r="B292">
        <v>2795121</v>
      </c>
      <c r="C292" t="str">
        <f>"ZOE LEARNING ACADEMY"</f>
        <v>ZOE LEARNING ACADEMY</v>
      </c>
      <c r="D292" t="s">
        <v>11</v>
      </c>
      <c r="E292" t="s">
        <v>334</v>
      </c>
      <c r="F292" t="s">
        <v>15</v>
      </c>
      <c r="G292">
        <v>77021</v>
      </c>
      <c r="H292">
        <v>2015</v>
      </c>
      <c r="I292" s="1">
        <v>3125.41</v>
      </c>
      <c r="J292" s="1">
        <v>3472.68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2015_School_Funding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Evil Piggy</cp:lastModifiedBy>
  <dcterms:created xsi:type="dcterms:W3CDTF">2021-08-03T21:54:00Z</dcterms:created>
  <dcterms:modified xsi:type="dcterms:W3CDTF">2021-08-03T21:54:00Z</dcterms:modified>
</cp:coreProperties>
</file>