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39D97CE1-9EC6-44FF-BFB4-2A70C31B8A69}" xr6:coauthVersionLast="47" xr6:coauthVersionMax="47" xr10:uidLastSave="{00000000-0000-0000-0000-000000000000}"/>
  <bookViews>
    <workbookView xWindow="-120" yWindow="-120" windowWidth="20640" windowHeight="11160" activeTab="3" xr2:uid="{D238DEB2-9FD1-4D5D-B06E-9A5C561EFDBD}"/>
  </bookViews>
  <sheets>
    <sheet name="Bastones" sheetId="1" r:id="rId1"/>
    <sheet name="Escalonado" sheetId="2" r:id="rId2"/>
    <sheet name="Video5" sheetId="3" r:id="rId3"/>
    <sheet name="TdF" sheetId="4" r:id="rId4"/>
  </sheets>
  <externalReferences>
    <externalReference r:id="rId5"/>
  </externalReferences>
  <definedNames>
    <definedName name="_xlchart.v1.0" hidden="1">TdF!$C$25:$C$29</definedName>
    <definedName name="_xlchart.v1.1" hidden="1">TdF!$D$25:$D$29</definedName>
    <definedName name="_xlchart.v1.2" hidden="1">TdF!$G$25:$G$29</definedName>
    <definedName name="_xlchart.v1.3" hidden="1">TdF!$H$25:$H$29</definedName>
    <definedName name="_xlchart.v1.4" hidden="1">TdF!$E$25:$E$29</definedName>
    <definedName name="_xlchart.v1.5" hidden="1">TdF!$G$25:$G$29</definedName>
    <definedName name="_xlchart.v1.6" hidden="1">TdF!$H$25:$H$29</definedName>
    <definedName name="_xlchart.v1.7" hidden="1">TdF!$E$25:$E$29</definedName>
    <definedName name="_xlchart.v1.8" hidden="1">TdF!$G$25:$G$29</definedName>
    <definedName name="_xlchart.v1.9" hidden="1">TdF!$H$25:$H$29</definedName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Video5!$P$33</definedName>
    <definedName name="MontoDatos">Video5!$M$25:$Q$29</definedName>
    <definedName name="MontoIntervalo">Video5!$P$32</definedName>
    <definedName name="MontoMaximo">Video5!$N$31</definedName>
    <definedName name="MontoMinimo">Video5!$M$31</definedName>
    <definedName name="MontoRango">Video5!$P$31</definedName>
    <definedName name="MuestraAmplitud">TdF!$F$17</definedName>
    <definedName name="MuestraCantidad">TdF!$F$14</definedName>
    <definedName name="MuestraDatos">TdF!$B$2:$K$8</definedName>
    <definedName name="MuestraIntervalo">TdF!$F$16</definedName>
    <definedName name="MuestraMaximo">TdF!$F$13</definedName>
    <definedName name="MuestraMinimo">TdF!$F$12</definedName>
    <definedName name="MuestraNuevoRango">TdF!$F$18</definedName>
    <definedName name="MuestraRango">TdF!$F$15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" i="4" l="1"/>
  <c r="J34" i="4"/>
  <c r="B25" i="4" l="1" a="1"/>
  <c r="B25" i="4"/>
  <c r="B26" i="4" a="1"/>
  <c r="B26" i="4"/>
  <c r="B27" i="4" a="1"/>
  <c r="B27" i="4"/>
  <c r="B28" i="4" a="1"/>
  <c r="B28" i="4"/>
  <c r="B29" i="4" a="1"/>
  <c r="B29" i="4"/>
  <c r="F14" i="4" l="1"/>
  <c r="D16" i="4" s="1"/>
  <c r="F16" i="4" s="1"/>
  <c r="F13" i="4"/>
  <c r="F12" i="4"/>
  <c r="M8" i="3"/>
  <c r="N8" i="3"/>
  <c r="P8" i="3"/>
  <c r="N9" i="3"/>
  <c r="C10" i="3"/>
  <c r="D10" i="3"/>
  <c r="F10" i="3"/>
  <c r="N10" i="3"/>
  <c r="P10" i="3"/>
  <c r="D13" i="3"/>
  <c r="C14" i="3"/>
  <c r="L14" i="3" a="1"/>
  <c r="L14" i="3"/>
  <c r="M14" i="3" a="1"/>
  <c r="M14" i="3"/>
  <c r="N14" i="3"/>
  <c r="O14" i="3"/>
  <c r="P14" i="3"/>
  <c r="Q14" i="3"/>
  <c r="R14" i="3"/>
  <c r="S14" i="3"/>
  <c r="L15" i="3" a="1"/>
  <c r="L15" i="3"/>
  <c r="M15" i="3" a="1"/>
  <c r="M15" i="3"/>
  <c r="N15" i="3"/>
  <c r="O15" i="3"/>
  <c r="P15" i="3"/>
  <c r="Q15" i="3"/>
  <c r="R15" i="3"/>
  <c r="S15" i="3"/>
  <c r="L16" i="3" a="1"/>
  <c r="L16" i="3"/>
  <c r="M16" i="3" a="1"/>
  <c r="M16" i="3"/>
  <c r="N16" i="3"/>
  <c r="O16" i="3"/>
  <c r="P16" i="3"/>
  <c r="Q16" i="3"/>
  <c r="R16" i="3"/>
  <c r="S16" i="3"/>
  <c r="D17" i="3"/>
  <c r="L17" i="3" a="1"/>
  <c r="L17" i="3"/>
  <c r="M17" i="3" a="1"/>
  <c r="M17" i="3"/>
  <c r="N17" i="3"/>
  <c r="O17" i="3"/>
  <c r="P17" i="3"/>
  <c r="Q17" i="3"/>
  <c r="R17" i="3"/>
  <c r="S17" i="3"/>
  <c r="L18" i="3" a="1"/>
  <c r="L18" i="3"/>
  <c r="M18" i="3" a="1"/>
  <c r="M18" i="3"/>
  <c r="N18" i="3"/>
  <c r="O18" i="3"/>
  <c r="P18" i="3"/>
  <c r="Q18" i="3"/>
  <c r="R18" i="3"/>
  <c r="S18" i="3"/>
  <c r="L19" i="3" a="1"/>
  <c r="L19" i="3"/>
  <c r="M19" i="3" a="1"/>
  <c r="M19" i="3"/>
  <c r="N19" i="3"/>
  <c r="O19" i="3"/>
  <c r="P19" i="3"/>
  <c r="Q19" i="3"/>
  <c r="R19" i="3"/>
  <c r="S19" i="3"/>
  <c r="L20" i="3" a="1"/>
  <c r="L20" i="3"/>
  <c r="M20" i="3" a="1"/>
  <c r="M20" i="3"/>
  <c r="N20" i="3"/>
  <c r="O20" i="3"/>
  <c r="P20" i="3"/>
  <c r="Q20" i="3"/>
  <c r="R20" i="3"/>
  <c r="S20" i="3"/>
  <c r="P21" i="3"/>
  <c r="R21" i="3"/>
  <c r="S21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D29" i="3"/>
  <c r="M31" i="3"/>
  <c r="N31" i="3"/>
  <c r="P31" i="3"/>
  <c r="N32" i="3"/>
  <c r="N33" i="3"/>
  <c r="P33" i="3"/>
  <c r="L37" i="3" a="1"/>
  <c r="L37" i="3"/>
  <c r="M37" i="3" a="1"/>
  <c r="M37" i="3"/>
  <c r="N37" i="3"/>
  <c r="O37" i="3"/>
  <c r="P37" i="3"/>
  <c r="Q37" i="3"/>
  <c r="R37" i="3"/>
  <c r="S37" i="3"/>
  <c r="L38" i="3" a="1"/>
  <c r="L38" i="3"/>
  <c r="M38" i="3" a="1"/>
  <c r="M38" i="3"/>
  <c r="N38" i="3"/>
  <c r="O38" i="3"/>
  <c r="P38" i="3"/>
  <c r="Q38" i="3"/>
  <c r="R38" i="3"/>
  <c r="S38" i="3"/>
  <c r="L39" i="3" a="1"/>
  <c r="L39" i="3"/>
  <c r="M39" i="3" a="1"/>
  <c r="M39" i="3"/>
  <c r="N39" i="3"/>
  <c r="O39" i="3"/>
  <c r="P39" i="3"/>
  <c r="Q39" i="3"/>
  <c r="R39" i="3"/>
  <c r="S39" i="3"/>
  <c r="L40" i="3" a="1"/>
  <c r="L40" i="3"/>
  <c r="M40" i="3" a="1"/>
  <c r="M40" i="3"/>
  <c r="N40" i="3"/>
  <c r="O40" i="3"/>
  <c r="P40" i="3"/>
  <c r="Q40" i="3"/>
  <c r="R40" i="3"/>
  <c r="S40" i="3"/>
  <c r="L41" i="3" a="1"/>
  <c r="L41" i="3"/>
  <c r="M41" i="3" a="1"/>
  <c r="M41" i="3"/>
  <c r="N41" i="3"/>
  <c r="O41" i="3"/>
  <c r="P41" i="3"/>
  <c r="Q41" i="3"/>
  <c r="R41" i="3"/>
  <c r="S41" i="3"/>
  <c r="L42" i="3" a="1"/>
  <c r="L42" i="3"/>
  <c r="M42" i="3" a="1"/>
  <c r="M42" i="3"/>
  <c r="N42" i="3"/>
  <c r="O42" i="3"/>
  <c r="P42" i="3"/>
  <c r="Q42" i="3"/>
  <c r="R42" i="3"/>
  <c r="S42" i="3"/>
  <c r="L43" i="3" a="1"/>
  <c r="L43" i="3"/>
  <c r="M43" i="3" a="1"/>
  <c r="M43" i="3"/>
  <c r="N43" i="3"/>
  <c r="O43" i="3"/>
  <c r="P43" i="3"/>
  <c r="Q43" i="3"/>
  <c r="R43" i="3"/>
  <c r="S43" i="3"/>
  <c r="P44" i="3"/>
  <c r="R44" i="3"/>
  <c r="S44" i="3"/>
  <c r="C2" i="1"/>
  <c r="I2" i="1"/>
  <c r="C3" i="1"/>
  <c r="I3" i="1"/>
  <c r="C4" i="1"/>
  <c r="I4" i="1"/>
  <c r="C5" i="1"/>
  <c r="I5" i="1"/>
  <c r="C6" i="1"/>
  <c r="E6" i="1"/>
  <c r="I6" i="1"/>
  <c r="F15" i="4" l="1"/>
  <c r="D17" i="4" s="1"/>
  <c r="F17" i="4" s="1"/>
  <c r="F22" i="3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18" i="4" l="1"/>
  <c r="C25" i="4" s="1" a="1"/>
  <c r="C25" i="4" s="1"/>
  <c r="G22" i="3"/>
  <c r="G29" i="3" s="1"/>
  <c r="F29" i="3"/>
  <c r="D25" i="4" l="1"/>
  <c r="G25" i="4"/>
  <c r="F25" i="4"/>
  <c r="C26" i="4" l="1" a="1"/>
  <c r="C26" i="4" s="1"/>
  <c r="E25" i="4"/>
  <c r="I25" i="4"/>
  <c r="J25" i="4" s="1"/>
  <c r="H25" i="4"/>
  <c r="D26" i="4" l="1"/>
  <c r="E26" i="4"/>
  <c r="F26" i="4"/>
  <c r="G26" i="4" l="1"/>
  <c r="C27" i="4" a="1"/>
  <c r="C27" i="4" s="1"/>
  <c r="D27" i="4" l="1"/>
  <c r="G27" i="4"/>
  <c r="F27" i="4"/>
  <c r="I26" i="4"/>
  <c r="J26" i="4" s="1"/>
  <c r="H26" i="4"/>
  <c r="I27" i="4" l="1"/>
  <c r="J27" i="4" s="1"/>
  <c r="H27" i="4"/>
  <c r="C28" i="4" a="1"/>
  <c r="C28" i="4" s="1"/>
  <c r="E27" i="4"/>
  <c r="D28" i="4" l="1"/>
  <c r="G28" i="4"/>
  <c r="F28" i="4"/>
  <c r="I28" i="4" l="1"/>
  <c r="J28" i="4" s="1"/>
  <c r="H28" i="4"/>
  <c r="C29" i="4" a="1"/>
  <c r="C29" i="4" s="1"/>
  <c r="E28" i="4"/>
  <c r="D29" i="4" l="1"/>
  <c r="E29" i="4" s="1"/>
  <c r="G29" i="4"/>
  <c r="F29" i="4"/>
  <c r="I29" i="4" l="1"/>
  <c r="J29" i="4" s="1"/>
  <c r="H29" i="4"/>
  <c r="G30" i="4"/>
  <c r="J30" i="4" l="1"/>
  <c r="I3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<sst xmlns="http://schemas.openxmlformats.org/spreadsheetml/2006/main" count="117" uniqueCount="77">
  <si>
    <t>FAA</t>
  </si>
  <si>
    <t>Alumnos (f)</t>
  </si>
  <si>
    <t>Materias (x)</t>
  </si>
  <si>
    <t>Fac</t>
  </si>
  <si>
    <t>Cantidad de Mujeres (fi)</t>
  </si>
  <si>
    <t>Cantidad de Hijos (xi)</t>
  </si>
  <si>
    <t>%</t>
  </si>
  <si>
    <t>fr</t>
  </si>
  <si>
    <t>F2</t>
  </si>
  <si>
    <t>f</t>
  </si>
  <si>
    <t>X</t>
  </si>
  <si>
    <t>Ls</t>
  </si>
  <si>
    <t>Li</t>
  </si>
  <si>
    <t>Intervalo</t>
  </si>
  <si>
    <t>Porcentaje</t>
  </si>
  <si>
    <t>%:</t>
  </si>
  <si>
    <t>Frecuencia relativa</t>
  </si>
  <si>
    <t>fr:</t>
  </si>
  <si>
    <t>@</t>
  </si>
  <si>
    <t>Amplitud:</t>
  </si>
  <si>
    <t>Frecuencia absoluta acumulada</t>
  </si>
  <si>
    <t>F:</t>
  </si>
  <si>
    <t>Intervalos:</t>
  </si>
  <si>
    <t>Frecuencia absoluta</t>
  </si>
  <si>
    <t>f:</t>
  </si>
  <si>
    <t>es</t>
  </si>
  <si>
    <t>Rango:</t>
  </si>
  <si>
    <t>Marca de clase</t>
  </si>
  <si>
    <t>X:</t>
  </si>
  <si>
    <t>S</t>
  </si>
  <si>
    <t>Montos</t>
  </si>
  <si>
    <t>F</t>
  </si>
  <si>
    <t>LS</t>
  </si>
  <si>
    <t>LI</t>
  </si>
  <si>
    <t>Kilogramos</t>
  </si>
  <si>
    <t>A =</t>
  </si>
  <si>
    <t>Rango / Intervalos (R/K)</t>
  </si>
  <si>
    <t xml:space="preserve">K = </t>
  </si>
  <si>
    <t>n =</t>
  </si>
  <si>
    <t>K = 1 + 3,322 Log(n)</t>
  </si>
  <si>
    <t>X(max) - X(min)</t>
  </si>
  <si>
    <t>Dato Máximo - Dato Mínimo</t>
  </si>
  <si>
    <t>Velocidad</t>
  </si>
  <si>
    <t>Muestra</t>
  </si>
  <si>
    <t>Variables</t>
  </si>
  <si>
    <t>Intervalo:</t>
  </si>
  <si>
    <t>Mínimo:</t>
  </si>
  <si>
    <t>Máximo:</t>
  </si>
  <si>
    <t>Cantidad:</t>
  </si>
  <si>
    <t>MuestraDatos</t>
  </si>
  <si>
    <t>MuestraMinimo</t>
  </si>
  <si>
    <t>MuestraMaximo</t>
  </si>
  <si>
    <t>MuestraCantidad</t>
  </si>
  <si>
    <t>MuestraRango</t>
  </si>
  <si>
    <t>MuestraIntervalo</t>
  </si>
  <si>
    <t>MuestraAmplitud</t>
  </si>
  <si>
    <t>R=Xmax-Xmin</t>
  </si>
  <si>
    <t>K=1+3,322*Log(n)</t>
  </si>
  <si>
    <t>A=R/K</t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</si>
  <si>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El impar más cercano</t>
    </r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</si>
  <si>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Se aproxima al siguiente</t>
    </r>
  </si>
  <si>
    <t>Nuevo Rango:</t>
  </si>
  <si>
    <t>MuestraNuevoRango</t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</si>
  <si>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1 True, 0 False</t>
    </r>
  </si>
  <si>
    <t>Tabla de Frecuencias</t>
  </si>
  <si>
    <t>Límite inferior</t>
  </si>
  <si>
    <t>Límite superior</t>
  </si>
  <si>
    <t>x</t>
  </si>
  <si>
    <t>Fab</t>
  </si>
  <si>
    <t>Faa</t>
  </si>
  <si>
    <t>Fr</t>
  </si>
  <si>
    <t>Serie</t>
  </si>
  <si>
    <t xml:space="preserve">a-  ¿Qué tipo de variable es? </t>
  </si>
  <si>
    <t xml:space="preserve">b-  ¿Cuántas ventas tuvieron un monto inferior a $215? </t>
  </si>
  <si>
    <t xml:space="preserve">c-  ¿Cuántas ventas tuvieron un monto superior a $220? </t>
  </si>
  <si>
    <t xml:space="preserve">d-  Graficar </t>
  </si>
  <si>
    <t>Faa es cuantitativa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</si>
</sst>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Symbol"/>
      <family val="1"/>
      <charset val="2"/>
    </font>
    <font>
      <i/>
      <sz val="11"/>
      <name val="Calibri"/>
      <family val="2"/>
    </font>
    <font>
      <i/>
      <sz val="11"/>
      <name val="Calibri"/>
      <family val="1"/>
      <charset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/>
    <xf numFmtId="0" fontId="5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10" fillId="0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12" fillId="0" borderId="0" xfId="0" applyFont="1"/>
    <xf numFmtId="0" fontId="13" fillId="5" borderId="0" xfId="0" applyFont="1" applyFill="1" applyAlignment="1">
      <alignment horizontal="center" vertical="center" textRotation="90" wrapText="1"/>
    </xf>
    <xf numFmtId="0" fontId="0" fillId="0" borderId="0" xfId="0" applyFont="1" applyBorder="1"/>
  </cellXfs>
  <cellStyles count="1">
    <cellStyle name="Normal" xfId="0" builtinId="0"/>
  </cellStyles>
  <dxfs count="2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 de Bastones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0"/>
          <c:tx>
            <c:strRef>
              <c:f>Bastones!$B$1</c:f>
              <c:strCache>
                <c:ptCount val="1"/>
                <c:pt idx="0">
                  <c:v>Cantidad de Mujeres (fi)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5C-4171-AB59-FFBA97BDC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5C-4171-AB59-FFBA97BDC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5C-4171-AB59-FFBA97BDC89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95C-4171-AB59-FFBA97BDC89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95C-4171-AB59-FFBA97BDC8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Bastones!$A$2:$A$6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Bastones!$B$2:$B$6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5C-4171-AB59-FFBA97BDC8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531775"/>
        <c:axId val="1858510975"/>
      </c:barChart>
      <c:catAx>
        <c:axId val="185853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Hijos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10975"/>
        <c:crosses val="autoZero"/>
        <c:auto val="1"/>
        <c:lblAlgn val="ctr"/>
        <c:lblOffset val="100"/>
        <c:noMultiLvlLbl val="0"/>
      </c:catAx>
      <c:valAx>
        <c:axId val="18585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Mujeres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3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materias que cursa una persona por cuatrimestre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Bastones!$H$1</c:f>
              <c:strCache>
                <c:ptCount val="1"/>
                <c:pt idx="0">
                  <c:v>Alumnos (f)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1-4BD7-AB06-BE97B26DDC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1-4BD7-AB06-BE97B26DDC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B1-4BD7-AB06-BE97B26DDC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B1-4BD7-AB06-BE97B26DDCF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B1-4BD7-AB06-BE97B26DDCFB}"/>
              </c:ext>
            </c:extLst>
          </c:dPt>
          <c:cat>
            <c:numRef>
              <c:f>Bastones!$G$2:$G$6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Bastones!$H$2:$H$6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B1-4BD7-AB06-BE97B26D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998776"/>
        <c:axId val="573005336"/>
      </c:barChart>
      <c:lineChart>
        <c:grouping val="standard"/>
        <c:varyColors val="1"/>
        <c:ser>
          <c:idx val="1"/>
          <c:order val="1"/>
          <c:tx>
            <c:strRef>
              <c:f>Bastones!$I$1</c:f>
              <c:strCache>
                <c:ptCount val="1"/>
                <c:pt idx="0">
                  <c:v>FAA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Bastones!$G$2:$G$6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Bastones!$I$2:$I$6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EB1-4BD7-AB06-BE97B26D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998776"/>
        <c:axId val="573005336"/>
      </c:lineChart>
      <c:catAx>
        <c:axId val="57299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materias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3005336"/>
        <c:crosses val="autoZero"/>
        <c:auto val="1"/>
        <c:lblAlgn val="ctr"/>
        <c:lblOffset val="100"/>
        <c:noMultiLvlLbl val="0"/>
      </c:catAx>
      <c:valAx>
        <c:axId val="5730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299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Escalonado!$C$1</c:f>
              <c:strCache>
                <c:ptCount val="1"/>
                <c:pt idx="0">
                  <c:v>Fac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Escalonado!$B$2:$B$10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xVal>
          <c:yVal>
            <c:numRef>
              <c:f>Escalonado!$C$2:$C$10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17</c:v>
                </c:pt>
                <c:pt idx="5">
                  <c:v>17</c:v>
                </c:pt>
                <c:pt idx="6">
                  <c:v>23</c:v>
                </c:pt>
                <c:pt idx="7">
                  <c:v>23</c:v>
                </c:pt>
                <c:pt idx="8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5-4037-B4DB-CD05942B7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85360"/>
        <c:axId val="575686016"/>
      </c:scatterChart>
      <c:valAx>
        <c:axId val="5756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686016"/>
        <c:crosses val="autoZero"/>
        <c:crossBetween val="midCat"/>
      </c:valAx>
      <c:valAx>
        <c:axId val="5756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68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  <cx:data id="1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Ventas en un día determinado</a:t>
            </a:r>
          </a:p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(Histograma)</a:t>
            </a:r>
          </a:p>
        </cx:rich>
      </cx:tx>
    </cx:title>
    <cx:plotArea>
      <cx:plotAreaRegion>
        <cx:series layoutId="clusteredColumn" uniqueId="{88DCCB3E-9BC0-4330-985A-516CBD689778}" formatIdx="0">
          <cx:dataLabels pos="outEnd">
            <cx:visibility seriesName="0" categoryName="0" value="1"/>
          </cx:dataLabels>
          <cx:dataId val="0"/>
          <cx:layoutPr>
            <cx:aggregation/>
          </cx:layoutPr>
        </cx:series>
        <cx:series layoutId="clusteredColumn" hidden="1" uniqueId="{248EEEAE-8BB2-4784-823B-E759D1F71E78}" formatIdx="2">
          <cx:dataLabels/>
          <cx:dataId val="1"/>
          <cx:layoutPr>
            <cx:aggregation/>
          </cx:layoutPr>
        </cx:series>
      </cx:plotAreaRegion>
      <cx:axis id="0">
        <cx:catScaling gapWidth="0"/>
        <cx:title>
          <cx:tx>
            <cx:txData>
              <cx:v>Amplitud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Amplitud</a:t>
              </a:r>
            </a:p>
          </cx:txPr>
        </cx:title>
        <cx:tickLabels/>
      </cx:axis>
      <cx:axis id="1">
        <cx:valScaling/>
        <cx:title>
          <cx:tx>
            <cx:txData>
              <cx:v>Frecuencia absoluta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 absoluta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42862</xdr:rowOff>
    </xdr:from>
    <xdr:to>
      <xdr:col>4</xdr:col>
      <xdr:colOff>323850</xdr:colOff>
      <xdr:row>22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660E89-8AB1-4390-91C1-DF7CCAF24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7</xdr:row>
      <xdr:rowOff>71437</xdr:rowOff>
    </xdr:from>
    <xdr:to>
      <xdr:col>9</xdr:col>
      <xdr:colOff>438151</xdr:colOff>
      <xdr:row>21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7AC337-C9FA-46AC-BE70-2D7E749DB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10</xdr:row>
      <xdr:rowOff>176212</xdr:rowOff>
    </xdr:from>
    <xdr:to>
      <xdr:col>5</xdr:col>
      <xdr:colOff>142875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D93388-2E59-48BF-8853-A7EBA0DA7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36</xdr:row>
      <xdr:rowOff>80961</xdr:rowOff>
    </xdr:from>
    <xdr:to>
      <xdr:col>12</xdr:col>
      <xdr:colOff>1238249</xdr:colOff>
      <xdr:row>53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1697ED5-8209-F067-547C-702976EC34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549" y="8015286"/>
              <a:ext cx="5876925" cy="3319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2AA66-03B4-49A7-95AB-D2AFAFE4AE24}" name="Tabla9" displayName="Tabla9" ref="A1:C6" totalsRowShown="0">
  <tableColumns count="3">
    <tableColumn id="1" xr3:uid="{0D93A850-DD4C-4219-834E-FD018C92D1DD}" name="Cantidad de Hijos (xi)"/>
    <tableColumn id="2" xr3:uid="{B8B7DB5F-4838-4CD4-A99F-B964123CEF9E}" name="Cantidad de Mujeres (fi)"/>
    <tableColumn id="3" xr3:uid="{54A8C9DE-2FC9-48F4-AC36-24CA71B6CF19}" name="Fac" dataDxfId="27">
      <calculatedColumnFormula>SUM(INDEX(Tabla9[Cantidad de Mujeres (fi)],1):Tabla9[[#This Row],[Cantidad de Mujeres (fi)]])</calculatedColumnFormula>
    </tableColumn>
  </tableColumns>
  <tableStyleInfo name="TableStyleLight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D17FA-A827-4D47-A8A2-4412F6A419BE}" name="Tabla911" displayName="Tabla911" ref="G1:I6" totalsRowShown="0">
  <tableColumns count="3">
    <tableColumn id="1" xr3:uid="{97660224-32B9-40D7-B082-1780EDCD4767}" name="Materias (x)"/>
    <tableColumn id="2" xr3:uid="{F9E3F17F-BB4E-4EC2-BD88-460C5D15453B}" name="Alumnos (f)"/>
    <tableColumn id="3" xr3:uid="{2DA26827-1467-48FD-9A9F-9027CE057955}" name="FAA" dataDxfId="26">
      <calculatedColumnFormula>SUM(INDEX(Tabla911[Alumnos (f)],1):Tabla911[[#This Row],[Alumnos (f)]])</calculatedColumnFormula>
    </tableColumn>
  </tableColumns>
  <tableStyleInfo name="TableStyleLight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54B24D-DDC8-4F79-B073-64C62D91DB8A}" name="Tabla912" displayName="Tabla912" ref="B1:C10" totalsRowShown="0">
  <sortState xmlns:xlrd2="http://schemas.microsoft.com/office/spreadsheetml/2017/richdata2" ref="B2:C10">
    <sortCondition ref="C7:C10"/>
  </sortState>
  <tableColumns count="2">
    <tableColumn id="1" xr3:uid="{0882C26D-6EA1-4CAC-9A07-2704EEE34CF5}" name="Cantidad de Hijos (xi)"/>
    <tableColumn id="3" xr3:uid="{7373EDD8-0513-4124-A09F-28E9605C2FCD}" name="Fac" dataDxfId="25"/>
  </tableColumns>
  <tableStyleInfo name="TableStyleLight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0D4D36-DD27-453B-8723-47B3076B584D}" name="Tabla2" displayName="Tabla2" ref="L13:S21" totalsRowCount="1">
  <tableColumns count="8">
    <tableColumn id="8" xr3:uid="{0A53712E-2CE1-4D3E-835E-053851610F89}" name="Intervalo" dataDxfId="24">
      <calculatedColumnFormula array="1">ROW(1:1)</calculatedColumnFormula>
    </tableColumn>
    <tableColumn id="1" xr3:uid="{95B66EDA-4894-4D52-B862-AD79C4B55BA8}" name="Li" dataDxfId="23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22">
      <calculatedColumnFormula>AVERAGE(Tabla2[[#This Row],[Li]],Tabla2[[#This Row],[Ls]])</calculatedColumnFormula>
    </tableColumn>
    <tableColumn id="4" xr3:uid="{559733AA-4545-40B3-B4E4-BA1C4A552CC9}" name="f" totalsRowFunction="custom" dataDxfId="21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20">
      <calculatedColumnFormula>SUM(INDEX(Tabla2[f],1):Tabla2[[#This Row],[f]])</calculatedColumnFormula>
    </tableColumn>
    <tableColumn id="6" xr3:uid="{898808BA-7B1D-423A-AFC5-36F396340D6F}" name="fr" totalsRowFunction="custom" dataDxfId="19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18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AB559-9D4F-493D-A0E8-7F53ECAD87EC}" name="Tabla213" displayName="Tabla213" ref="L36:S44" totalsRowCount="1">
  <tableColumns count="8">
    <tableColumn id="8" xr3:uid="{05CF4DB7-8893-4548-A109-59A30E3ABA6F}" name="Intervalo" dataDxfId="17">
      <calculatedColumnFormula array="1">ROW(1:1)</calculatedColumnFormula>
    </tableColumn>
    <tableColumn id="1" xr3:uid="{22857361-AD1F-4713-B939-EC30A4E6C691}" name="Li" dataDxfId="16">
      <calculatedColumnFormula array="1">IF(Tabla213[[#This Row],[Intervalo]]=1,MontoMinimo,INDEX(Tabla213[Ls],Tabla213[[#This Row],[Intervalo]]-1))</calculatedColumnFormula>
    </tableColumn>
    <tableColumn id="2" xr3:uid="{42F79BB3-0592-412F-B6E2-0382C35E5133}" name="Ls" dataDxfId="15">
      <calculatedColumnFormula>Tabla213[[#This Row],[Li]]+MontoAmplitud</calculatedColumnFormula>
    </tableColumn>
    <tableColumn id="3" xr3:uid="{B55922B1-344B-4D22-A14B-AB2F3927ED32}" name="X" dataDxfId="14">
      <calculatedColumnFormula>AVERAGE(Tabla213[[#This Row],[Li]],Tabla213[[#This Row],[Ls]])</calculatedColumnFormula>
    </tableColumn>
    <tableColumn id="4" xr3:uid="{A717B9F9-6B4B-43D6-829B-F0693B32AFE8}" name="f" totalsRowFunction="custom" dataDxfId="13">
      <calculatedColumnFormula>COUNTIFS(MontoDatos,"&gt;="&amp;Tabla213[[#This Row],[Li]],MontoDatos,"&lt;"&amp;Tabla213[[#This Row],[Ls]])</calculatedColumnFormula>
      <totalsRowFormula>SUBTOTAL(9,Tabla213[f])</totalsRowFormula>
    </tableColumn>
    <tableColumn id="5" xr3:uid="{806DA728-6A9C-4635-8E78-200E49F02EA7}" name="F2" dataDxfId="12">
      <calculatedColumnFormula>SUM(INDEX(Tabla213[f],1):Tabla213[[#This Row],[f]])</calculatedColumnFormula>
    </tableColumn>
    <tableColumn id="6" xr3:uid="{7DA8DAE7-53D0-4A18-892F-99C4D9910B08}" name="fr" totalsRowFunction="custom" dataDxfId="11">
      <calculatedColumnFormula>Tabla213[[#This Row],[f]]/COUNT(MontoDatos)</calculatedColumnFormula>
      <totalsRowFormula>SUBTOTAL(9,Tabla213[fr])</totalsRowFormula>
    </tableColumn>
    <tableColumn id="7" xr3:uid="{FB4794A1-E344-4D52-B200-86D8C5A48F4B}" name="%" totalsRowFunction="custom" dataDxfId="10">
      <calculatedColumnFormula>Tabla213[[#This Row],[fr]]*100</calculatedColumnFormula>
      <totalsRowFormula>SUBTOTAL(9,Tabla213[%])</totalsRow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1AD681-8403-4F34-840C-8C33AB350050}" name="Tabla27" displayName="Tabla27" ref="B24:J30" totalsRowCount="1">
  <tableColumns count="9">
    <tableColumn id="8" xr3:uid="{00D428D7-5BBC-4E39-B4DD-BEEB76B4B901}" name="Intervalo" totalsRowLabel="S" dataDxfId="9" totalsRowDxfId="1">
      <calculatedColumnFormula array="1">ROW(1:1)</calculatedColumnFormula>
    </tableColumn>
    <tableColumn id="1" xr3:uid="{F58894CE-0EBB-4C91-BC25-6D3A596EB303}" name="Li" dataDxfId="8">
      <calculatedColumnFormula array="1">IF(Tabla27[[#This Row],[Intervalo]]=1,MuestraMinimo-MuestraNuevoRango,INDEX(Tabla27[Ls],Tabla27[[#This Row],[Intervalo]]-1))</calculatedColumnFormula>
    </tableColumn>
    <tableColumn id="2" xr3:uid="{D3B6F66C-6836-4C32-BE99-CF19A067E501}" name="Ls" dataDxfId="7">
      <calculatedColumnFormula>Tabla27[[#This Row],[Li]]+MuestraAmplitud</calculatedColumnFormula>
    </tableColumn>
    <tableColumn id="11" xr3:uid="{B8AA1C8D-32C3-47C7-973D-5FF90409377F}" name="Serie" dataDxfId="0">
      <calculatedColumnFormula>Tabla27[[#This Row],[Li]]&amp;"-"&amp;Tabla27[[#This Row],[Ls]]</calculatedColumnFormula>
    </tableColumn>
    <tableColumn id="3" xr3:uid="{E6D1A1F7-9297-432A-9701-8D7D357CE783}" name="x" dataDxfId="6">
      <calculatedColumnFormula>AVERAGE(Tabla27[[#This Row],[Li]],Tabla27[[#This Row],[Ls]])</calculatedColumnFormula>
    </tableColumn>
    <tableColumn id="4" xr3:uid="{F9FC388E-B761-4D34-BAC2-998C7E97C3CB}" name="Fab" totalsRowFunction="custom" dataDxfId="5">
      <calculatedColumnFormula>COUNTIFS(MuestraDatos,"&gt;="&amp;Tabla27[[#This Row],[Li]],MuestraDatos,"&lt;"&amp;Tabla27[[#This Row],[Ls]])</calculatedColumnFormula>
      <totalsRowFormula>SUBTOTAL(9,Tabla27[Fab])</totalsRowFormula>
    </tableColumn>
    <tableColumn id="5" xr3:uid="{60CA077B-735B-4B42-9663-6549184AA9C0}" name="Faa" dataDxfId="4">
      <calculatedColumnFormula>SUM(INDEX(Tabla27[Fab],1):Tabla27[[#This Row],[Fab]])</calculatedColumnFormula>
    </tableColumn>
    <tableColumn id="6" xr3:uid="{062EAC8C-E153-43D5-9E7F-8358F8B599F9}" name="Fr" totalsRowFunction="custom" dataDxfId="3">
      <calculatedColumnFormula>Tabla27[[#This Row],[Fab]]/MuestraCantidad</calculatedColumnFormula>
      <totalsRowFormula>SUBTOTAL(9,Tabla27[Fr])</totalsRowFormula>
    </tableColumn>
    <tableColumn id="7" xr3:uid="{1C7C27A7-174E-432D-9135-84009EB87C48}" name="%" totalsRowFunction="custom" dataDxfId="2">
      <calculatedColumnFormula>Tabla27[[#This Row],[Fr]]*100</calculatedColumnFormula>
      <totalsRowFormula>SUBTOTAL(9,Tabla27[%])</totalsRow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18E9-4E5E-4B07-AACC-5FDA15B2E0DD}">
  <dimension ref="A1:I6"/>
  <sheetViews>
    <sheetView topLeftCell="A2" workbookViewId="0">
      <selection activeCell="H4" sqref="H4"/>
    </sheetView>
  </sheetViews>
  <sheetFormatPr baseColWidth="10" defaultRowHeight="15"/>
  <cols>
    <col min="1" max="1" width="22" customWidth="1"/>
    <col min="2" max="2" width="24.5703125" customWidth="1"/>
  </cols>
  <sheetData>
    <row r="1" spans="1:9">
      <c r="A1" t="s">
        <v>5</v>
      </c>
      <c r="B1" t="s">
        <v>4</v>
      </c>
      <c r="C1" t="s">
        <v>3</v>
      </c>
      <c r="G1" t="s">
        <v>2</v>
      </c>
      <c r="H1" t="s">
        <v>1</v>
      </c>
      <c r="I1" t="s">
        <v>0</v>
      </c>
    </row>
    <row r="2" spans="1:9">
      <c r="A2">
        <v>1</v>
      </c>
      <c r="B2">
        <v>4</v>
      </c>
      <c r="C2">
        <f>SUM(INDEX(Tabla9[Cantidad de Mujeres (fi)],1):Tabla9[[#This Row],[Cantidad de Mujeres (fi)]])</f>
        <v>4</v>
      </c>
      <c r="G2">
        <v>1</v>
      </c>
      <c r="H2">
        <v>4</v>
      </c>
      <c r="I2">
        <f>SUM(INDEX(Tabla911[Alumnos (f)],1):Tabla911[[#This Row],[Alumnos (f)]])</f>
        <v>4</v>
      </c>
    </row>
    <row r="3" spans="1:9">
      <c r="A3">
        <v>2</v>
      </c>
      <c r="B3">
        <v>5</v>
      </c>
      <c r="C3">
        <f>SUM(INDEX(Tabla9[Cantidad de Mujeres (fi)],1):Tabla9[[#This Row],[Cantidad de Mujeres (fi)]])</f>
        <v>9</v>
      </c>
      <c r="G3">
        <v>2</v>
      </c>
      <c r="H3">
        <v>5</v>
      </c>
      <c r="I3">
        <f>SUM(INDEX(Tabla911[Alumnos (f)],1):Tabla911[[#This Row],[Alumnos (f)]])</f>
        <v>9</v>
      </c>
    </row>
    <row r="4" spans="1:9">
      <c r="A4">
        <v>3</v>
      </c>
      <c r="B4">
        <v>8</v>
      </c>
      <c r="C4">
        <f>SUM(INDEX(Tabla9[Cantidad de Mujeres (fi)],1):Tabla9[[#This Row],[Cantidad de Mujeres (fi)]])</f>
        <v>17</v>
      </c>
      <c r="G4">
        <v>3</v>
      </c>
      <c r="H4">
        <v>8</v>
      </c>
      <c r="I4">
        <f>SUM(INDEX(Tabla911[Alumnos (f)],1):Tabla911[[#This Row],[Alumnos (f)]])</f>
        <v>17</v>
      </c>
    </row>
    <row r="5" spans="1:9">
      <c r="A5">
        <v>4</v>
      </c>
      <c r="B5">
        <v>6</v>
      </c>
      <c r="C5">
        <f>SUM(INDEX(Tabla9[Cantidad de Mujeres (fi)],1):Tabla9[[#This Row],[Cantidad de Mujeres (fi)]])</f>
        <v>23</v>
      </c>
      <c r="G5">
        <v>4</v>
      </c>
      <c r="H5">
        <v>6</v>
      </c>
      <c r="I5">
        <f>SUM(INDEX(Tabla911[Alumnos (f)],1):Tabla911[[#This Row],[Alumnos (f)]])</f>
        <v>23</v>
      </c>
    </row>
    <row r="6" spans="1:9">
      <c r="A6">
        <v>5</v>
      </c>
      <c r="B6">
        <v>3</v>
      </c>
      <c r="C6">
        <f>SUM(INDEX(Tabla9[Cantidad de Mujeres (fi)],1):Tabla9[[#This Row],[Cantidad de Mujeres (fi)]])</f>
        <v>26</v>
      </c>
      <c r="E6">
        <f>Tabla9[[#This Row],[Fac]]-C3</f>
        <v>17</v>
      </c>
      <c r="G6">
        <v>5</v>
      </c>
      <c r="H6">
        <v>3</v>
      </c>
      <c r="I6">
        <f>SUM(INDEX(Tabla911[Alumnos (f)],1):Tabla911[[#This Row],[Alumnos (f)]])</f>
        <v>26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4870-FF54-43D3-9CA0-6EFB33FFCAC7}">
  <dimension ref="B1:C10"/>
  <sheetViews>
    <sheetView workbookViewId="0">
      <selection activeCell="H14" sqref="H14"/>
    </sheetView>
  </sheetViews>
  <sheetFormatPr baseColWidth="10" defaultRowHeight="15"/>
  <sheetData>
    <row r="1" spans="2:3">
      <c r="B1" t="s">
        <v>5</v>
      </c>
      <c r="C1" t="s">
        <v>3</v>
      </c>
    </row>
    <row r="2" spans="2:3">
      <c r="B2">
        <v>1</v>
      </c>
      <c r="C2">
        <v>4</v>
      </c>
    </row>
    <row r="3" spans="2:3">
      <c r="B3">
        <v>2</v>
      </c>
      <c r="C3">
        <v>4</v>
      </c>
    </row>
    <row r="4" spans="2:3">
      <c r="B4">
        <v>2</v>
      </c>
      <c r="C4">
        <v>9</v>
      </c>
    </row>
    <row r="5" spans="2:3">
      <c r="B5">
        <v>3</v>
      </c>
      <c r="C5">
        <v>9</v>
      </c>
    </row>
    <row r="6" spans="2:3">
      <c r="B6">
        <v>3</v>
      </c>
      <c r="C6">
        <v>17</v>
      </c>
    </row>
    <row r="7" spans="2:3">
      <c r="B7">
        <v>4</v>
      </c>
      <c r="C7">
        <v>17</v>
      </c>
    </row>
    <row r="8" spans="2:3">
      <c r="B8">
        <v>4</v>
      </c>
      <c r="C8">
        <v>23</v>
      </c>
    </row>
    <row r="9" spans="2:3">
      <c r="B9">
        <v>5</v>
      </c>
      <c r="C9">
        <v>23</v>
      </c>
    </row>
    <row r="10" spans="2:3">
      <c r="B10">
        <v>5</v>
      </c>
      <c r="C10">
        <v>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ECF8-1616-434E-9AAC-9B1ABB60D0EE}">
  <dimension ref="A1:V44"/>
  <sheetViews>
    <sheetView topLeftCell="A19" workbookViewId="0">
      <selection activeCell="A29" sqref="A29"/>
    </sheetView>
  </sheetViews>
  <sheetFormatPr baseColWidth="10" defaultColWidth="9.140625" defaultRowHeight="15"/>
  <cols>
    <col min="1" max="10" width="5.7109375" customWidth="1"/>
    <col min="12" max="12" width="9" bestFit="1" customWidth="1"/>
    <col min="13" max="22" width="5.7109375" customWidth="1"/>
  </cols>
  <sheetData>
    <row r="1" spans="1:22">
      <c r="A1" t="s">
        <v>34</v>
      </c>
      <c r="L1" s="1" t="s">
        <v>42</v>
      </c>
    </row>
    <row r="2" spans="1:22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>
      <c r="A8" t="s">
        <v>26</v>
      </c>
      <c r="C8" t="s">
        <v>41</v>
      </c>
      <c r="L8" s="1" t="s">
        <v>26</v>
      </c>
      <c r="M8">
        <f>LARGE(VelocidadDatos,1)</f>
        <v>71</v>
      </c>
      <c r="N8">
        <f>SMALL(VelocidadDatos,1)</f>
        <v>27</v>
      </c>
      <c r="O8" s="4" t="s">
        <v>25</v>
      </c>
      <c r="P8" s="1">
        <f>M8-N8</f>
        <v>44</v>
      </c>
    </row>
    <row r="9" spans="1:22">
      <c r="C9" t="s">
        <v>40</v>
      </c>
      <c r="L9" s="1" t="s">
        <v>22</v>
      </c>
      <c r="N9">
        <f>1+3.322*LOG10(COUNT(VelocidadDatos))</f>
        <v>6.6439783544042541</v>
      </c>
      <c r="O9" s="3" t="s">
        <v>18</v>
      </c>
      <c r="P9" s="1">
        <v>7</v>
      </c>
    </row>
    <row r="10" spans="1:22">
      <c r="C10">
        <f>LARGE(A2:J5,1)</f>
        <v>53</v>
      </c>
      <c r="D10">
        <f>SMALL(A2:J5,1)</f>
        <v>33</v>
      </c>
      <c r="F10" s="1">
        <f>C10-D10</f>
        <v>20</v>
      </c>
      <c r="L10" s="1" t="s">
        <v>19</v>
      </c>
      <c r="N10">
        <f>P8/P9</f>
        <v>6.2857142857142856</v>
      </c>
      <c r="O10" s="3" t="s">
        <v>18</v>
      </c>
      <c r="P10" s="1">
        <f>ROUNDUP(N10,0)</f>
        <v>7</v>
      </c>
    </row>
    <row r="12" spans="1:22">
      <c r="A12" t="s">
        <v>22</v>
      </c>
      <c r="C12" t="s">
        <v>39</v>
      </c>
    </row>
    <row r="13" spans="1:22">
      <c r="C13" s="8" t="s">
        <v>38</v>
      </c>
      <c r="D13">
        <f>COUNT(A2:J5)</f>
        <v>40</v>
      </c>
      <c r="L13" s="1" t="s">
        <v>13</v>
      </c>
      <c r="M13" t="s">
        <v>12</v>
      </c>
      <c r="N13" t="s">
        <v>11</v>
      </c>
      <c r="O13" t="s">
        <v>10</v>
      </c>
      <c r="P13" t="s">
        <v>9</v>
      </c>
      <c r="Q13" t="s">
        <v>8</v>
      </c>
      <c r="R13" t="s">
        <v>7</v>
      </c>
      <c r="S13" t="s">
        <v>6</v>
      </c>
    </row>
    <row r="14" spans="1:22">
      <c r="C14">
        <f>1+3.322*LOG10(D13)</f>
        <v>6.3220432911914912</v>
      </c>
      <c r="E14" s="8" t="s">
        <v>37</v>
      </c>
      <c r="F14" s="1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>
      <c r="A16" t="s">
        <v>19</v>
      </c>
      <c r="C16" t="s">
        <v>36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>
      <c r="C17" s="8" t="s">
        <v>35</v>
      </c>
      <c r="D17">
        <f>F10/F14</f>
        <v>2.8571428571428572</v>
      </c>
      <c r="E17" s="3" t="s">
        <v>18</v>
      </c>
      <c r="F17" s="1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>
      <c r="L19" cm="1">
        <f t="array" ref="L19">ROW(6:6)</f>
        <v>6</v>
      </c>
      <c r="M19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>
      <c r="A20" t="s">
        <v>34</v>
      </c>
      <c r="L20" cm="1">
        <f t="array" ref="L20">ROW(7:7)</f>
        <v>7</v>
      </c>
      <c r="M20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>
      <c r="A21" s="6" t="s">
        <v>33</v>
      </c>
      <c r="B21" s="6" t="s">
        <v>32</v>
      </c>
      <c r="C21" s="6" t="s">
        <v>10</v>
      </c>
      <c r="D21" s="6" t="s">
        <v>9</v>
      </c>
      <c r="E21" s="6" t="s">
        <v>31</v>
      </c>
      <c r="F21" s="6" t="s">
        <v>7</v>
      </c>
      <c r="G21" s="6" t="s">
        <v>6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>
      <c r="A22" s="4">
        <v>33</v>
      </c>
      <c r="B22" s="4">
        <f t="shared" ref="B22:B28" si="0">A22+F$17</f>
        <v>36</v>
      </c>
      <c r="C22" s="4">
        <f t="shared" ref="C22:C28" si="1">AVERAGE(A22,B22)</f>
        <v>34.5</v>
      </c>
      <c r="D22" s="4">
        <f t="shared" ref="D22:D28" si="2">COUNTIFS($A$2:$J$5,"&gt;="&amp;A22,$A$2:$J$5,"&lt;"&amp;B22)</f>
        <v>1</v>
      </c>
      <c r="E22" s="4">
        <f>SUM(INDEX(D$22:D$28,1):D22)</f>
        <v>1</v>
      </c>
      <c r="F22" s="4">
        <f t="shared" ref="F22:F28" si="3">D22/D$29</f>
        <v>2.5000000000000001E-2</v>
      </c>
      <c r="G22" s="4">
        <f t="shared" ref="G22:G28" si="4">F22*100</f>
        <v>2.5</v>
      </c>
    </row>
    <row r="23" spans="1:19">
      <c r="A23" s="4">
        <f t="shared" ref="A23:A28" si="5">B22</f>
        <v>36</v>
      </c>
      <c r="B23" s="4">
        <f t="shared" si="0"/>
        <v>39</v>
      </c>
      <c r="C23" s="4">
        <f t="shared" si="1"/>
        <v>37.5</v>
      </c>
      <c r="D23" s="4">
        <f t="shared" si="2"/>
        <v>9</v>
      </c>
      <c r="E23" s="4">
        <f>SUM(INDEX(D$22:D$28,1):D23)</f>
        <v>10</v>
      </c>
      <c r="F23" s="4">
        <f t="shared" si="3"/>
        <v>0.22500000000000001</v>
      </c>
      <c r="G23" s="4">
        <f t="shared" si="4"/>
        <v>22.5</v>
      </c>
    </row>
    <row r="24" spans="1:19">
      <c r="A24" s="4">
        <f t="shared" si="5"/>
        <v>39</v>
      </c>
      <c r="B24" s="4">
        <f t="shared" si="0"/>
        <v>42</v>
      </c>
      <c r="C24" s="4">
        <f t="shared" si="1"/>
        <v>40.5</v>
      </c>
      <c r="D24" s="4">
        <f t="shared" si="2"/>
        <v>14</v>
      </c>
      <c r="E24" s="4">
        <f>SUM(INDEX(D$22:D$28,1):D24)</f>
        <v>24</v>
      </c>
      <c r="F24" s="4">
        <f t="shared" si="3"/>
        <v>0.35</v>
      </c>
      <c r="G24" s="4">
        <f t="shared" si="4"/>
        <v>35</v>
      </c>
      <c r="L24" s="1" t="s">
        <v>30</v>
      </c>
    </row>
    <row r="25" spans="1:19">
      <c r="A25" s="4">
        <f t="shared" si="5"/>
        <v>42</v>
      </c>
      <c r="B25" s="4">
        <f t="shared" si="0"/>
        <v>45</v>
      </c>
      <c r="C25" s="4">
        <f t="shared" si="1"/>
        <v>43.5</v>
      </c>
      <c r="D25" s="4">
        <f t="shared" si="2"/>
        <v>7</v>
      </c>
      <c r="E25" s="4">
        <f>SUM(INDEX(D$22:D$28,1):D25)</f>
        <v>31</v>
      </c>
      <c r="F25" s="4">
        <f t="shared" si="3"/>
        <v>0.17499999999999999</v>
      </c>
      <c r="G25" s="4">
        <f t="shared" si="4"/>
        <v>17.5</v>
      </c>
      <c r="M25" s="5">
        <v>206.1</v>
      </c>
      <c r="N25" s="5">
        <v>216.9</v>
      </c>
      <c r="O25" s="5">
        <v>214.4</v>
      </c>
      <c r="P25" s="5">
        <v>210.4</v>
      </c>
      <c r="Q25" s="5">
        <v>228.9</v>
      </c>
    </row>
    <row r="26" spans="1:19">
      <c r="A26" s="4">
        <f t="shared" si="5"/>
        <v>45</v>
      </c>
      <c r="B26" s="4">
        <f t="shared" si="0"/>
        <v>48</v>
      </c>
      <c r="C26" s="4">
        <f t="shared" si="1"/>
        <v>46.5</v>
      </c>
      <c r="D26" s="4">
        <f t="shared" si="2"/>
        <v>4</v>
      </c>
      <c r="E26" s="4">
        <f>SUM(INDEX(D$22:D$28,1):D26)</f>
        <v>35</v>
      </c>
      <c r="F26" s="4">
        <f t="shared" si="3"/>
        <v>0.1</v>
      </c>
      <c r="G26" s="4">
        <f t="shared" si="4"/>
        <v>10</v>
      </c>
      <c r="M26" s="5">
        <v>216.1</v>
      </c>
      <c r="N26" s="5">
        <v>201.2</v>
      </c>
      <c r="O26" s="5">
        <v>203.4</v>
      </c>
      <c r="P26" s="5">
        <v>211.3</v>
      </c>
      <c r="Q26" s="5">
        <v>218.3</v>
      </c>
    </row>
    <row r="27" spans="1:19">
      <c r="A27" s="4">
        <f t="shared" si="5"/>
        <v>48</v>
      </c>
      <c r="B27" s="4">
        <f t="shared" si="0"/>
        <v>51</v>
      </c>
      <c r="C27" s="4">
        <f t="shared" si="1"/>
        <v>49.5</v>
      </c>
      <c r="D27" s="4">
        <f t="shared" si="2"/>
        <v>3</v>
      </c>
      <c r="E27" s="4">
        <f>SUM(INDEX(D$22:D$28,1):D27)</f>
        <v>38</v>
      </c>
      <c r="F27" s="4">
        <f t="shared" si="3"/>
        <v>7.4999999999999997E-2</v>
      </c>
      <c r="G27" s="4">
        <f t="shared" si="4"/>
        <v>7.5</v>
      </c>
      <c r="M27" s="5">
        <v>208.4</v>
      </c>
      <c r="N27" s="5">
        <v>210</v>
      </c>
      <c r="O27" s="5">
        <v>224.1</v>
      </c>
      <c r="P27" s="5">
        <v>212.2</v>
      </c>
      <c r="Q27" s="5">
        <v>207.8</v>
      </c>
    </row>
    <row r="28" spans="1:19">
      <c r="A28" s="4">
        <f t="shared" si="5"/>
        <v>51</v>
      </c>
      <c r="B28" s="4">
        <f t="shared" si="0"/>
        <v>54</v>
      </c>
      <c r="C28" s="4">
        <f t="shared" si="1"/>
        <v>52.5</v>
      </c>
      <c r="D28" s="4">
        <f t="shared" si="2"/>
        <v>2</v>
      </c>
      <c r="E28" s="4">
        <f>SUM(INDEX(D$22:D$28,1):D28)</f>
        <v>40</v>
      </c>
      <c r="F28" s="4">
        <f t="shared" si="3"/>
        <v>0.05</v>
      </c>
      <c r="G28" s="4">
        <f t="shared" si="4"/>
        <v>5</v>
      </c>
      <c r="M28" s="5">
        <v>214.8</v>
      </c>
      <c r="N28" s="5">
        <v>204.7</v>
      </c>
      <c r="O28" s="5">
        <v>205.8</v>
      </c>
      <c r="P28" s="5">
        <v>213.9</v>
      </c>
      <c r="Q28" s="5">
        <v>217.4</v>
      </c>
    </row>
    <row r="29" spans="1:19">
      <c r="A29" s="7" t="s">
        <v>29</v>
      </c>
      <c r="B29" s="6"/>
      <c r="C29" s="6"/>
      <c r="D29" s="6">
        <f>SUBTOTAL(9,D22:D28)</f>
        <v>40</v>
      </c>
      <c r="E29" s="6"/>
      <c r="F29" s="6">
        <f>SUBTOTAL(9,F22:F28)</f>
        <v>0.99999999999999989</v>
      </c>
      <c r="G29" s="6">
        <f>SUBTOTAL(9,G22:G28)</f>
        <v>100</v>
      </c>
      <c r="M29" s="5">
        <v>222.4</v>
      </c>
      <c r="N29" s="5">
        <v>215.2</v>
      </c>
      <c r="O29" s="5">
        <v>219.8</v>
      </c>
      <c r="P29" s="5">
        <v>211.4</v>
      </c>
      <c r="Q29" s="5">
        <v>210.8</v>
      </c>
    </row>
    <row r="31" spans="1:19">
      <c r="A31" s="2" t="s">
        <v>28</v>
      </c>
      <c r="B31" t="s">
        <v>27</v>
      </c>
      <c r="L31" s="1" t="s">
        <v>26</v>
      </c>
      <c r="M31">
        <f>SMALL(MontoDatos,1)</f>
        <v>201.2</v>
      </c>
      <c r="N31">
        <f>LARGE(MontoDatos,1)</f>
        <v>228.9</v>
      </c>
      <c r="O31" s="4" t="s">
        <v>25</v>
      </c>
      <c r="P31" s="1">
        <f>MontoMaximo-MontoMinimo</f>
        <v>27.700000000000017</v>
      </c>
    </row>
    <row r="32" spans="1:19">
      <c r="A32" s="2" t="s">
        <v>24</v>
      </c>
      <c r="B32" t="s">
        <v>23</v>
      </c>
      <c r="L32" s="1" t="s">
        <v>22</v>
      </c>
      <c r="N32">
        <f>1+3.322*LOG10(COUNT(MontoDatos))</f>
        <v>5.643956708808509</v>
      </c>
      <c r="O32" s="3" t="s">
        <v>18</v>
      </c>
      <c r="P32" s="1">
        <v>7</v>
      </c>
    </row>
    <row r="33" spans="1:19">
      <c r="A33" s="2" t="s">
        <v>21</v>
      </c>
      <c r="B33" t="s">
        <v>20</v>
      </c>
      <c r="L33" s="1" t="s">
        <v>19</v>
      </c>
      <c r="N33">
        <f>P31/P32</f>
        <v>3.9571428571428595</v>
      </c>
      <c r="O33" s="3" t="s">
        <v>18</v>
      </c>
      <c r="P33" s="1">
        <f>ROUNDUP(N33,0)</f>
        <v>4</v>
      </c>
    </row>
    <row r="34" spans="1:19">
      <c r="A34" s="2" t="s">
        <v>17</v>
      </c>
      <c r="B34" t="s">
        <v>16</v>
      </c>
    </row>
    <row r="35" spans="1:19">
      <c r="A35" s="2" t="s">
        <v>15</v>
      </c>
      <c r="B35" t="s">
        <v>14</v>
      </c>
    </row>
    <row r="36" spans="1:19">
      <c r="L36" s="1" t="s">
        <v>13</v>
      </c>
      <c r="M36" t="s">
        <v>12</v>
      </c>
      <c r="N36" t="s">
        <v>11</v>
      </c>
      <c r="O36" t="s">
        <v>10</v>
      </c>
      <c r="P36" t="s">
        <v>9</v>
      </c>
      <c r="Q36" t="s">
        <v>8</v>
      </c>
      <c r="R36" t="s">
        <v>7</v>
      </c>
      <c r="S36" t="s">
        <v>6</v>
      </c>
    </row>
    <row r="37" spans="1:19">
      <c r="L37" cm="1">
        <f t="array" ref="L37">ROW(1:1)</f>
        <v>1</v>
      </c>
      <c r="M37" cm="1">
        <f t="array" ref="M37">IF(Tabla213[[#This Row],[Intervalo]]=1,MontoMinimo,INDEX(Tabla213[Ls],Tabla213[[#This Row],[Intervalo]]-1))</f>
        <v>201.2</v>
      </c>
      <c r="N37">
        <f>Tabla213[[#This Row],[Li]]+MontoAmplitud</f>
        <v>205.2</v>
      </c>
      <c r="O37">
        <f>AVERAGE(Tabla213[[#This Row],[Li]],Tabla213[[#This Row],[Ls]])</f>
        <v>203.2</v>
      </c>
      <c r="P37">
        <f>COUNTIFS(MontoDatos,"&gt;="&amp;Tabla213[[#This Row],[Li]],MontoDatos,"&lt;"&amp;Tabla213[[#This Row],[Ls]])</f>
        <v>3</v>
      </c>
      <c r="Q37">
        <f>SUM(INDEX(Tabla213[f],1):Tabla213[[#This Row],[f]])</f>
        <v>3</v>
      </c>
      <c r="R37">
        <f>Tabla213[[#This Row],[f]]/COUNT(MontoDatos)</f>
        <v>0.12</v>
      </c>
      <c r="S37">
        <f>Tabla213[[#This Row],[fr]]*100</f>
        <v>12</v>
      </c>
    </row>
    <row r="38" spans="1:19">
      <c r="L38" cm="1">
        <f t="array" ref="L38">ROW(2:2)</f>
        <v>2</v>
      </c>
      <c r="M38" cm="1">
        <f t="array" ref="M38">IF(Tabla213[[#This Row],[Intervalo]]=1,MontoMinimo,INDEX(Tabla213[Ls],Tabla213[[#This Row],[Intervalo]]-1))</f>
        <v>205.2</v>
      </c>
      <c r="N38">
        <f>Tabla213[[#This Row],[Li]]+MontoAmplitud</f>
        <v>209.2</v>
      </c>
      <c r="O38">
        <f>AVERAGE(Tabla213[[#This Row],[Li]],Tabla213[[#This Row],[Ls]])</f>
        <v>207.2</v>
      </c>
      <c r="P38">
        <f>COUNTIFS(MontoDatos,"&gt;="&amp;Tabla213[[#This Row],[Li]],MontoDatos,"&lt;"&amp;Tabla213[[#This Row],[Ls]])</f>
        <v>4</v>
      </c>
      <c r="Q38">
        <f>SUM(INDEX(Tabla213[f],1):Tabla213[[#This Row],[f]])</f>
        <v>7</v>
      </c>
      <c r="R38">
        <f>Tabla213[[#This Row],[f]]/COUNT(MontoDatos)</f>
        <v>0.16</v>
      </c>
      <c r="S38">
        <f>Tabla213[[#This Row],[fr]]*100</f>
        <v>16</v>
      </c>
    </row>
    <row r="39" spans="1:19">
      <c r="L39" cm="1">
        <f t="array" ref="L39">ROW(3:3)</f>
        <v>3</v>
      </c>
      <c r="M39" cm="1">
        <f t="array" ref="M39">IF(Tabla213[[#This Row],[Intervalo]]=1,MontoMinimo,INDEX(Tabla213[Ls],Tabla213[[#This Row],[Intervalo]]-1))</f>
        <v>209.2</v>
      </c>
      <c r="N39">
        <f>Tabla213[[#This Row],[Li]]+MontoAmplitud</f>
        <v>213.2</v>
      </c>
      <c r="O39">
        <f>AVERAGE(Tabla213[[#This Row],[Li]],Tabla213[[#This Row],[Ls]])</f>
        <v>211.2</v>
      </c>
      <c r="P39">
        <f>COUNTIFS(MontoDatos,"&gt;="&amp;Tabla213[[#This Row],[Li]],MontoDatos,"&lt;"&amp;Tabla213[[#This Row],[Ls]])</f>
        <v>6</v>
      </c>
      <c r="Q39">
        <f>SUM(INDEX(Tabla213[f],1):Tabla213[[#This Row],[f]])</f>
        <v>13</v>
      </c>
      <c r="R39">
        <f>Tabla213[[#This Row],[f]]/COUNT(MontoDatos)</f>
        <v>0.24</v>
      </c>
      <c r="S39">
        <f>Tabla213[[#This Row],[fr]]*100</f>
        <v>24</v>
      </c>
    </row>
    <row r="40" spans="1:19">
      <c r="L40" cm="1">
        <f t="array" ref="L40">ROW(4:4)</f>
        <v>4</v>
      </c>
      <c r="M40" cm="1">
        <f t="array" ref="M40">IF(Tabla213[[#This Row],[Intervalo]]=1,MontoMinimo,INDEX(Tabla213[Ls],Tabla213[[#This Row],[Intervalo]]-1))</f>
        <v>213.2</v>
      </c>
      <c r="N40">
        <f>Tabla213[[#This Row],[Li]]+MontoAmplitud</f>
        <v>217.2</v>
      </c>
      <c r="O40">
        <f>AVERAGE(Tabla213[[#This Row],[Li]],Tabla213[[#This Row],[Ls]])</f>
        <v>215.2</v>
      </c>
      <c r="P40">
        <f>COUNTIFS(MontoDatos,"&gt;="&amp;Tabla213[[#This Row],[Li]],MontoDatos,"&lt;"&amp;Tabla213[[#This Row],[Ls]])</f>
        <v>6</v>
      </c>
      <c r="Q40">
        <f>SUM(INDEX(Tabla213[f],1):Tabla213[[#This Row],[f]])</f>
        <v>19</v>
      </c>
      <c r="R40">
        <f>Tabla213[[#This Row],[f]]/COUNT(MontoDatos)</f>
        <v>0.24</v>
      </c>
      <c r="S40">
        <f>Tabla213[[#This Row],[fr]]*100</f>
        <v>24</v>
      </c>
    </row>
    <row r="41" spans="1:19">
      <c r="L41" cm="1">
        <f t="array" ref="L41">ROW(5:5)</f>
        <v>5</v>
      </c>
      <c r="M41" cm="1">
        <f t="array" ref="M41">IF(Tabla213[[#This Row],[Intervalo]]=1,MontoMinimo,INDEX(Tabla213[Ls],Tabla213[[#This Row],[Intervalo]]-1))</f>
        <v>217.2</v>
      </c>
      <c r="N41">
        <f>Tabla213[[#This Row],[Li]]+MontoAmplitud</f>
        <v>221.2</v>
      </c>
      <c r="O41">
        <f>AVERAGE(Tabla213[[#This Row],[Li]],Tabla213[[#This Row],[Ls]])</f>
        <v>219.2</v>
      </c>
      <c r="P41">
        <f>COUNTIFS(MontoDatos,"&gt;="&amp;Tabla213[[#This Row],[Li]],MontoDatos,"&lt;"&amp;Tabla213[[#This Row],[Ls]])</f>
        <v>3</v>
      </c>
      <c r="Q41">
        <f>SUM(INDEX(Tabla213[f],1):Tabla213[[#This Row],[f]])</f>
        <v>22</v>
      </c>
      <c r="R41">
        <f>Tabla213[[#This Row],[f]]/COUNT(MontoDatos)</f>
        <v>0.12</v>
      </c>
      <c r="S41">
        <f>Tabla213[[#This Row],[fr]]*100</f>
        <v>12</v>
      </c>
    </row>
    <row r="42" spans="1:19">
      <c r="L42" cm="1">
        <f t="array" ref="L42">ROW(6:6)</f>
        <v>6</v>
      </c>
      <c r="M42" cm="1">
        <f t="array" ref="M42">IF(Tabla213[[#This Row],[Intervalo]]=1,MontoMinimo,INDEX(Tabla213[Ls],Tabla213[[#This Row],[Intervalo]]-1))</f>
        <v>221.2</v>
      </c>
      <c r="N42">
        <f>Tabla213[[#This Row],[Li]]+MontoAmplitud</f>
        <v>225.2</v>
      </c>
      <c r="O42">
        <f>AVERAGE(Tabla213[[#This Row],[Li]],Tabla213[[#This Row],[Ls]])</f>
        <v>223.2</v>
      </c>
      <c r="P42">
        <f>COUNTIFS(MontoDatos,"&gt;="&amp;Tabla213[[#This Row],[Li]],MontoDatos,"&lt;"&amp;Tabla213[[#This Row],[Ls]])</f>
        <v>2</v>
      </c>
      <c r="Q42">
        <f>SUM(INDEX(Tabla213[f],1):Tabla213[[#This Row],[f]])</f>
        <v>24</v>
      </c>
      <c r="R42">
        <f>Tabla213[[#This Row],[f]]/COUNT(MontoDatos)</f>
        <v>0.08</v>
      </c>
      <c r="S42">
        <f>Tabla213[[#This Row],[fr]]*100</f>
        <v>8</v>
      </c>
    </row>
    <row r="43" spans="1:19">
      <c r="L43" cm="1">
        <f t="array" ref="L43">ROW(7:7)</f>
        <v>7</v>
      </c>
      <c r="M43" cm="1">
        <f t="array" ref="M43">IF(Tabla213[[#This Row],[Intervalo]]=1,MontoMinimo,INDEX(Tabla213[Ls],Tabla213[[#This Row],[Intervalo]]-1))</f>
        <v>225.2</v>
      </c>
      <c r="N43">
        <f>Tabla213[[#This Row],[Li]]+MontoAmplitud</f>
        <v>229.2</v>
      </c>
      <c r="O43">
        <f>AVERAGE(Tabla213[[#This Row],[Li]],Tabla213[[#This Row],[Ls]])</f>
        <v>227.2</v>
      </c>
      <c r="P43">
        <f>COUNTIFS(MontoDatos,"&gt;="&amp;Tabla213[[#This Row],[Li]],MontoDatos,"&lt;"&amp;Tabla213[[#This Row],[Ls]])</f>
        <v>1</v>
      </c>
      <c r="Q43">
        <f>SUM(INDEX(Tabla213[f],1):Tabla213[[#This Row],[f]])</f>
        <v>25</v>
      </c>
      <c r="R43">
        <f>Tabla213[[#This Row],[f]]/COUNT(MontoDatos)</f>
        <v>0.04</v>
      </c>
      <c r="S43">
        <f>Tabla213[[#This Row],[fr]]*100</f>
        <v>4</v>
      </c>
    </row>
    <row r="44" spans="1:19">
      <c r="P44">
        <f>SUBTOTAL(9,Tabla213[f])</f>
        <v>25</v>
      </c>
      <c r="R44">
        <f>SUBTOTAL(9,Tabla213[fr])</f>
        <v>1</v>
      </c>
      <c r="S44">
        <f>SUBTOTAL(9,Tabla213[%])</f>
        <v>100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DD1D-729B-495E-A7F1-28241AB0F49E}">
  <dimension ref="A1:M36"/>
  <sheetViews>
    <sheetView tabSelected="1" topLeftCell="A33" workbookViewId="0">
      <selection activeCell="P42" sqref="P42"/>
    </sheetView>
  </sheetViews>
  <sheetFormatPr baseColWidth="10" defaultRowHeight="15"/>
  <cols>
    <col min="1" max="1" width="19.42578125" bestFit="1" customWidth="1"/>
    <col min="2" max="11" width="6.7109375" customWidth="1"/>
    <col min="12" max="12" width="3.28515625" customWidth="1"/>
    <col min="13" max="13" width="19.7109375" bestFit="1" customWidth="1"/>
    <col min="14" max="14" width="3.28515625" customWidth="1"/>
  </cols>
  <sheetData>
    <row r="1" spans="1:13">
      <c r="A1" s="9" t="s">
        <v>43</v>
      </c>
    </row>
    <row r="2" spans="1:13">
      <c r="B2" s="5">
        <v>206.1</v>
      </c>
      <c r="C2" s="5">
        <v>216.9</v>
      </c>
      <c r="D2" s="5">
        <v>214.4</v>
      </c>
      <c r="E2" s="5">
        <v>210.4</v>
      </c>
      <c r="F2" s="5">
        <v>228.9</v>
      </c>
      <c r="G2" s="5"/>
      <c r="H2" s="5"/>
      <c r="I2" s="5"/>
      <c r="J2" s="5"/>
      <c r="K2" s="5"/>
      <c r="M2" s="10" t="s">
        <v>49</v>
      </c>
    </row>
    <row r="3" spans="1:13">
      <c r="B3" s="5">
        <v>216.1</v>
      </c>
      <c r="C3" s="5">
        <v>201.2</v>
      </c>
      <c r="D3" s="5">
        <v>203.4</v>
      </c>
      <c r="E3" s="5">
        <v>211.3</v>
      </c>
      <c r="F3" s="5">
        <v>218.3</v>
      </c>
      <c r="G3" s="5"/>
      <c r="H3" s="5"/>
      <c r="I3" s="5"/>
      <c r="J3" s="5"/>
      <c r="K3" s="5"/>
    </row>
    <row r="4" spans="1:13">
      <c r="B4" s="5">
        <v>208.4</v>
      </c>
      <c r="C4" s="5">
        <v>210</v>
      </c>
      <c r="D4" s="5">
        <v>224.1</v>
      </c>
      <c r="E4" s="5">
        <v>212.2</v>
      </c>
      <c r="F4" s="5">
        <v>207.8</v>
      </c>
      <c r="G4" s="5"/>
      <c r="H4" s="5"/>
      <c r="I4" s="5"/>
      <c r="J4" s="5"/>
      <c r="K4" s="5"/>
    </row>
    <row r="5" spans="1:13">
      <c r="B5" s="5">
        <v>214.8</v>
      </c>
      <c r="C5" s="5">
        <v>204.7</v>
      </c>
      <c r="D5" s="5">
        <v>205.8</v>
      </c>
      <c r="E5" s="5">
        <v>213.9</v>
      </c>
      <c r="F5" s="5">
        <v>217.4</v>
      </c>
      <c r="G5" s="5"/>
      <c r="H5" s="5"/>
      <c r="I5" s="5"/>
      <c r="J5" s="5"/>
      <c r="K5" s="5"/>
    </row>
    <row r="6" spans="1:13">
      <c r="B6" s="5">
        <v>222.4</v>
      </c>
      <c r="C6" s="5">
        <v>215.2</v>
      </c>
      <c r="D6" s="5">
        <v>219.8</v>
      </c>
      <c r="E6" s="5">
        <v>211.4</v>
      </c>
      <c r="F6" s="5">
        <v>210.8</v>
      </c>
      <c r="G6" s="5"/>
      <c r="H6" s="5"/>
      <c r="I6" s="5"/>
      <c r="J6" s="5"/>
      <c r="K6" s="5"/>
    </row>
    <row r="7" spans="1:13"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>
      <c r="B8" s="5"/>
      <c r="C8" s="5"/>
      <c r="D8" s="5"/>
      <c r="E8" s="5"/>
      <c r="F8" s="5"/>
      <c r="G8" s="5"/>
      <c r="H8" s="5"/>
      <c r="I8" s="5"/>
      <c r="J8" s="5"/>
      <c r="K8" s="5"/>
    </row>
    <row r="11" spans="1:13">
      <c r="A11" s="9" t="s">
        <v>44</v>
      </c>
    </row>
    <row r="12" spans="1:13">
      <c r="B12" t="s">
        <v>46</v>
      </c>
      <c r="F12" s="1">
        <f>SMALL(MuestraDatos,1)</f>
        <v>201.2</v>
      </c>
      <c r="G12" s="1"/>
      <c r="H12" s="1"/>
      <c r="I12" s="1"/>
      <c r="J12" s="1"/>
      <c r="M12" s="10" t="s">
        <v>50</v>
      </c>
    </row>
    <row r="13" spans="1:13">
      <c r="B13" t="s">
        <v>47</v>
      </c>
      <c r="F13" s="1">
        <f>LARGE(MuestraDatos,1)</f>
        <v>228.9</v>
      </c>
      <c r="G13" s="1"/>
      <c r="H13" s="1"/>
      <c r="I13" s="1"/>
      <c r="J13" s="1"/>
      <c r="M13" s="10" t="s">
        <v>51</v>
      </c>
    </row>
    <row r="14" spans="1:13">
      <c r="B14" t="s">
        <v>48</v>
      </c>
      <c r="F14" s="1">
        <f>COUNT(MuestraDatos)</f>
        <v>25</v>
      </c>
      <c r="G14" s="1"/>
      <c r="H14" s="1"/>
      <c r="I14" s="1"/>
      <c r="J14" s="1"/>
      <c r="M14" s="10" t="s">
        <v>52</v>
      </c>
    </row>
    <row r="15" spans="1:13">
      <c r="A15" s="11" t="s">
        <v>56</v>
      </c>
      <c r="B15" t="s">
        <v>26</v>
      </c>
      <c r="F15" s="1">
        <f>MuestraMaximo-MuestraMinimo</f>
        <v>27.700000000000017</v>
      </c>
      <c r="G15" s="1"/>
      <c r="H15" s="1"/>
      <c r="I15" s="1"/>
      <c r="J15" s="1"/>
      <c r="M15" s="10" t="s">
        <v>53</v>
      </c>
    </row>
    <row r="16" spans="1:13">
      <c r="A16" s="12" t="s">
        <v>57</v>
      </c>
      <c r="B16" s="13" t="s">
        <v>45</v>
      </c>
      <c r="C16" s="17"/>
      <c r="D16" s="13">
        <f>1+3.322*LOG10(MuestraCantidad)</f>
        <v>5.643956708808509</v>
      </c>
      <c r="E16" s="14" t="s">
        <v>18</v>
      </c>
      <c r="F16" s="15">
        <f>IF(ISEVEN(ROUNDUP(D16,0)),ROUNDDOWN(D16,0),ROUNDUP(D16,0))</f>
        <v>5</v>
      </c>
      <c r="G16" s="18" t="s">
        <v>59</v>
      </c>
      <c r="H16" s="15"/>
      <c r="I16" s="15"/>
      <c r="J16" s="15"/>
      <c r="K16" s="17"/>
      <c r="L16" s="13"/>
      <c r="M16" s="16" t="s">
        <v>54</v>
      </c>
    </row>
    <row r="17" spans="1:13">
      <c r="A17" s="12" t="s">
        <v>58</v>
      </c>
      <c r="B17" s="13" t="s">
        <v>19</v>
      </c>
      <c r="C17" s="17"/>
      <c r="D17" s="13">
        <f>MuestraRango/MuestraIntervalo</f>
        <v>5.5400000000000036</v>
      </c>
      <c r="E17" s="14" t="s">
        <v>18</v>
      </c>
      <c r="F17" s="15">
        <f>ROUNDUP(D17,0)</f>
        <v>6</v>
      </c>
      <c r="G17" s="18" t="s">
        <v>60</v>
      </c>
      <c r="H17" s="15"/>
      <c r="I17" s="15"/>
      <c r="J17" s="15"/>
      <c r="K17" s="17"/>
      <c r="L17" s="13"/>
      <c r="M17" s="16" t="s">
        <v>55</v>
      </c>
    </row>
    <row r="18" spans="1:13">
      <c r="B18" t="s">
        <v>61</v>
      </c>
      <c r="D18">
        <v>0</v>
      </c>
      <c r="F18" s="1">
        <f>IF(D18=1,((MuestraIntervalo*MuestraAmplitud)-MuestraRango)/2,0)</f>
        <v>0</v>
      </c>
      <c r="G18" s="18" t="s">
        <v>63</v>
      </c>
      <c r="H18" s="1"/>
      <c r="I18" s="1"/>
      <c r="J18" s="1"/>
      <c r="M18" s="10" t="s">
        <v>62</v>
      </c>
    </row>
    <row r="21" spans="1:13">
      <c r="A21" s="9" t="s">
        <v>64</v>
      </c>
    </row>
    <row r="22" spans="1:13" ht="99.95" customHeight="1">
      <c r="C22" s="21" t="s">
        <v>65</v>
      </c>
      <c r="D22" s="21" t="s">
        <v>66</v>
      </c>
      <c r="E22" s="21"/>
      <c r="F22" s="21" t="s">
        <v>27</v>
      </c>
      <c r="G22" s="21" t="s">
        <v>23</v>
      </c>
      <c r="H22" s="21" t="s">
        <v>20</v>
      </c>
      <c r="I22" s="21" t="s">
        <v>16</v>
      </c>
      <c r="J22" s="21" t="s">
        <v>14</v>
      </c>
    </row>
    <row r="24" spans="1:13">
      <c r="B24" s="1" t="s">
        <v>13</v>
      </c>
      <c r="C24" t="s">
        <v>12</v>
      </c>
      <c r="D24" t="s">
        <v>11</v>
      </c>
      <c r="E24" t="s">
        <v>71</v>
      </c>
      <c r="F24" t="s">
        <v>67</v>
      </c>
      <c r="G24" t="s">
        <v>68</v>
      </c>
      <c r="H24" t="s">
        <v>69</v>
      </c>
      <c r="I24" t="s">
        <v>70</v>
      </c>
      <c r="J24" t="s">
        <v>6</v>
      </c>
    </row>
    <row r="25" spans="1:13">
      <c r="B25" s="20" cm="1">
        <f t="array" ref="B25">ROW(1:1)</f>
        <v>1</v>
      </c>
      <c r="C25" cm="1">
        <f t="array" ref="C25">IF(Tabla27[[#This Row],[Intervalo]]=1,MuestraMinimo-MuestraNuevoRango,INDEX(Tabla27[Ls],Tabla27[[#This Row],[Intervalo]]-1))</f>
        <v>201.2</v>
      </c>
      <c r="D25">
        <f>Tabla27[[#This Row],[Li]]+MuestraAmplitud</f>
        <v>207.2</v>
      </c>
      <c r="E25" t="str">
        <f>Tabla27[[#This Row],[Li]]&amp;"-"&amp;Tabla27[[#This Row],[Ls]]</f>
        <v>201,2-207,2</v>
      </c>
      <c r="F25">
        <f>AVERAGE(Tabla27[[#This Row],[Li]],Tabla27[[#This Row],[Ls]])</f>
        <v>204.2</v>
      </c>
      <c r="G25">
        <f>COUNTIFS(MuestraDatos,"&gt;="&amp;Tabla27[[#This Row],[Li]],MuestraDatos,"&lt;"&amp;Tabla27[[#This Row],[Ls]])</f>
        <v>5</v>
      </c>
      <c r="H25">
        <f>SUM(INDEX(Tabla27[Fab],1):Tabla27[[#This Row],[Fab]])</f>
        <v>5</v>
      </c>
      <c r="I25">
        <f>Tabla27[[#This Row],[Fab]]/MuestraCantidad</f>
        <v>0.2</v>
      </c>
      <c r="J25">
        <f>Tabla27[[#This Row],[Fr]]*100</f>
        <v>20</v>
      </c>
    </row>
    <row r="26" spans="1:13">
      <c r="B26" s="20" cm="1">
        <f t="array" ref="B26">ROW(2:2)</f>
        <v>2</v>
      </c>
      <c r="C26" cm="1">
        <f t="array" ref="C26">IF(Tabla27[[#This Row],[Intervalo]]=1,MuestraMinimo-MuestraNuevoRango,INDEX(Tabla27[Ls],Tabla27[[#This Row],[Intervalo]]-1))</f>
        <v>207.2</v>
      </c>
      <c r="D26">
        <f>Tabla27[[#This Row],[Li]]+MuestraAmplitud</f>
        <v>213.2</v>
      </c>
      <c r="E26" t="str">
        <f>Tabla27[[#This Row],[Li]]&amp;"-"&amp;Tabla27[[#This Row],[Ls]]</f>
        <v>207,2-213,2</v>
      </c>
      <c r="F26">
        <f>AVERAGE(Tabla27[[#This Row],[Li]],Tabla27[[#This Row],[Ls]])</f>
        <v>210.2</v>
      </c>
      <c r="G26">
        <f>COUNTIFS(MuestraDatos,"&gt;="&amp;Tabla27[[#This Row],[Li]],MuestraDatos,"&lt;"&amp;Tabla27[[#This Row],[Ls]])</f>
        <v>8</v>
      </c>
      <c r="H26">
        <f>SUM(INDEX(Tabla27[Fab],1):Tabla27[[#This Row],[Fab]])</f>
        <v>13</v>
      </c>
      <c r="I26">
        <f>Tabla27[[#This Row],[Fab]]/MuestraCantidad</f>
        <v>0.32</v>
      </c>
      <c r="J26">
        <f>Tabla27[[#This Row],[Fr]]*100</f>
        <v>32</v>
      </c>
    </row>
    <row r="27" spans="1:13">
      <c r="B27" s="20" cm="1">
        <f t="array" ref="B27">ROW(3:3)</f>
        <v>3</v>
      </c>
      <c r="C27" cm="1">
        <f t="array" ref="C27">IF(Tabla27[[#This Row],[Intervalo]]=1,MuestraMinimo-MuestraNuevoRango,INDEX(Tabla27[Ls],Tabla27[[#This Row],[Intervalo]]-1))</f>
        <v>213.2</v>
      </c>
      <c r="D27">
        <f>Tabla27[[#This Row],[Li]]+MuestraAmplitud</f>
        <v>219.2</v>
      </c>
      <c r="E27" t="str">
        <f>Tabla27[[#This Row],[Li]]&amp;"-"&amp;Tabla27[[#This Row],[Ls]]</f>
        <v>213,2-219,2</v>
      </c>
      <c r="F27">
        <f>AVERAGE(Tabla27[[#This Row],[Li]],Tabla27[[#This Row],[Ls]])</f>
        <v>216.2</v>
      </c>
      <c r="G27">
        <f>COUNTIFS(MuestraDatos,"&gt;="&amp;Tabla27[[#This Row],[Li]],MuestraDatos,"&lt;"&amp;Tabla27[[#This Row],[Ls]])</f>
        <v>8</v>
      </c>
      <c r="H27">
        <f>SUM(INDEX(Tabla27[Fab],1):Tabla27[[#This Row],[Fab]])</f>
        <v>21</v>
      </c>
      <c r="I27">
        <f>Tabla27[[#This Row],[Fab]]/MuestraCantidad</f>
        <v>0.32</v>
      </c>
      <c r="J27">
        <f>Tabla27[[#This Row],[Fr]]*100</f>
        <v>32</v>
      </c>
    </row>
    <row r="28" spans="1:13">
      <c r="B28" s="20" cm="1">
        <f t="array" ref="B28">ROW(4:4)</f>
        <v>4</v>
      </c>
      <c r="C28" cm="1">
        <f t="array" ref="C28">IF(Tabla27[[#This Row],[Intervalo]]=1,MuestraMinimo-MuestraNuevoRango,INDEX(Tabla27[Ls],Tabla27[[#This Row],[Intervalo]]-1))</f>
        <v>219.2</v>
      </c>
      <c r="D28">
        <f>Tabla27[[#This Row],[Li]]+MuestraAmplitud</f>
        <v>225.2</v>
      </c>
      <c r="E28" t="str">
        <f>Tabla27[[#This Row],[Li]]&amp;"-"&amp;Tabla27[[#This Row],[Ls]]</f>
        <v>219,2-225,2</v>
      </c>
      <c r="F28">
        <f>AVERAGE(Tabla27[[#This Row],[Li]],Tabla27[[#This Row],[Ls]])</f>
        <v>222.2</v>
      </c>
      <c r="G28">
        <f>COUNTIFS(MuestraDatos,"&gt;="&amp;Tabla27[[#This Row],[Li]],MuestraDatos,"&lt;"&amp;Tabla27[[#This Row],[Ls]])</f>
        <v>3</v>
      </c>
      <c r="H28">
        <f>SUM(INDEX(Tabla27[Fab],1):Tabla27[[#This Row],[Fab]])</f>
        <v>24</v>
      </c>
      <c r="I28">
        <f>Tabla27[[#This Row],[Fab]]/MuestraCantidad</f>
        <v>0.12</v>
      </c>
      <c r="J28">
        <f>Tabla27[[#This Row],[Fr]]*100</f>
        <v>12</v>
      </c>
    </row>
    <row r="29" spans="1:13">
      <c r="B29" s="20" cm="1">
        <f t="array" ref="B29">ROW(5:5)</f>
        <v>5</v>
      </c>
      <c r="C29" cm="1">
        <f t="array" ref="C29">IF(Tabla27[[#This Row],[Intervalo]]=1,MuestraMinimo-MuestraNuevoRango,INDEX(Tabla27[Ls],Tabla27[[#This Row],[Intervalo]]-1))</f>
        <v>225.2</v>
      </c>
      <c r="D29">
        <f>Tabla27[[#This Row],[Li]]+MuestraAmplitud</f>
        <v>231.2</v>
      </c>
      <c r="E29" t="str">
        <f>Tabla27[[#This Row],[Li]]&amp;"-"&amp;Tabla27[[#This Row],[Ls]]</f>
        <v>225,2-231,2</v>
      </c>
      <c r="F29">
        <f>AVERAGE(Tabla27[[#This Row],[Li]],Tabla27[[#This Row],[Ls]])</f>
        <v>228.2</v>
      </c>
      <c r="G29">
        <f>COUNTIFS(MuestraDatos,"&gt;="&amp;Tabla27[[#This Row],[Li]],MuestraDatos,"&lt;"&amp;Tabla27[[#This Row],[Ls]])</f>
        <v>1</v>
      </c>
      <c r="H29">
        <f>SUM(INDEX(Tabla27[Fab],1):Tabla27[[#This Row],[Fab]])</f>
        <v>25</v>
      </c>
      <c r="I29">
        <f>Tabla27[[#This Row],[Fab]]/MuestraCantidad</f>
        <v>0.04</v>
      </c>
      <c r="J29">
        <f>Tabla27[[#This Row],[Fr]]*100</f>
        <v>4</v>
      </c>
    </row>
    <row r="30" spans="1:13">
      <c r="B30" s="19" t="s">
        <v>29</v>
      </c>
      <c r="G30">
        <f>SUBTOTAL(9,Tabla27[Fab])</f>
        <v>25</v>
      </c>
      <c r="I30">
        <f>SUBTOTAL(9,Tabla27[Fr])</f>
        <v>1</v>
      </c>
      <c r="J30">
        <f>SUBTOTAL(9,Tabla27[%])</f>
        <v>100</v>
      </c>
    </row>
    <row r="33" spans="2:10">
      <c r="B33" t="s">
        <v>72</v>
      </c>
      <c r="J33" t="s">
        <v>76</v>
      </c>
    </row>
    <row r="34" spans="2:10">
      <c r="B34" t="s">
        <v>73</v>
      </c>
      <c r="J34" s="22">
        <f>COUNTIFS(MuestraDatos,"&lt;215")</f>
        <v>16</v>
      </c>
    </row>
    <row r="35" spans="2:10">
      <c r="B35" t="s">
        <v>74</v>
      </c>
      <c r="J35" s="22">
        <f>COUNTIFS(MuestraDatos,"&gt;220")</f>
        <v>3</v>
      </c>
    </row>
    <row r="36" spans="2:10">
      <c r="B36" t="s">
        <v>75</v>
      </c>
    </row>
  </sheetData>
  <phoneticPr fontId="1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17</vt:i4>
      </vt:variant>
    </vt:vector>
  </HeadingPairs>
  <TitlesOfParts>
    <vt:vector size="21" baseType="lpstr">
      <vt:lpstr>Bastones</vt:lpstr>
      <vt:lpstr>Escalonado</vt:lpstr>
      <vt:lpstr>Video5</vt:lpstr>
      <vt:lpstr>TdF</vt:lpstr>
      <vt:lpstr>MontoAmplitud</vt:lpstr>
      <vt:lpstr>MontoDatos</vt:lpstr>
      <vt:lpstr>MontoIntervalo</vt:lpstr>
      <vt:lpstr>MontoMaximo</vt:lpstr>
      <vt:lpstr>MontoMinimo</vt:lpstr>
      <vt:lpstr>MontoRango</vt:lpstr>
      <vt:lpstr>MuestraAmplitud</vt:lpstr>
      <vt:lpstr>MuestraCantidad</vt:lpstr>
      <vt:lpstr>MuestraDatos</vt:lpstr>
      <vt:lpstr>MuestraIntervalo</vt:lpstr>
      <vt:lpstr>MuestraMaximo</vt:lpstr>
      <vt:lpstr>MuestraMinimo</vt:lpstr>
      <vt:lpstr>MuestraNuevoRango</vt:lpstr>
      <vt:lpstr>MuestraRango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2022-09-06T21:34:49Z</dcterms:modified>
</cp:coreProperties>
</file>