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24226"/>
  <xr:revisionPtr revIDLastSave="0" documentId="13_ncr:1_{B173652A-04EB-4EC5-BC0D-DE13BDCEB05F}" xr6:coauthVersionLast="47" xr6:coauthVersionMax="47" xr10:uidLastSave="{00000000-0000-0000-0000-000000000000}"/>
  <bookViews>
    <workbookView xWindow="-120" yWindow="-120" windowWidth="20640" windowHeight="11160" activeTab="4" xr2:uid="{00000000-000D-0000-FFFF-FFFF00000000}"/>
  </bookViews>
  <sheets>
    <sheet name="Video3" sheetId="1" r:id="rId1"/>
    <sheet name="Pareto" sheetId="2" r:id="rId2"/>
    <sheet name="Video6" sheetId="4" r:id="rId3"/>
    <sheet name="GBarras" sheetId="5" r:id="rId4"/>
    <sheet name="Histograma" sheetId="6" r:id="rId5"/>
  </sheets>
  <externalReferences>
    <externalReference r:id="rId6"/>
  </externalReferences>
  <definedNames>
    <definedName name="_xlchart.v1.0" hidden="1">Histograma!$A$2:$A$9</definedName>
    <definedName name="_xlchart.v1.1" hidden="1">Histograma!$C$1</definedName>
    <definedName name="_xlchart.v1.2" hidden="1">Histograma!$C$2:$C$9</definedName>
    <definedName name="_xlchart.v1.3" hidden="1">Histograma!$I$2:$I$8</definedName>
    <definedName name="_xlchart.v1.4" hidden="1">Histograma!$K$1</definedName>
    <definedName name="_xlchart.v1.5" hidden="1">Histograma!$K$2:$K$8</definedName>
    <definedName name="EdadesAmplitud">Video6!$D$13</definedName>
    <definedName name="EdadesDatos">Video6!$B$2:$K$7</definedName>
    <definedName name="EdadesIntervalo">Video6!$D$12</definedName>
    <definedName name="EdadesMaximo">Video6!$D$10</definedName>
    <definedName name="EdadesMinimo">Video6!$D$9</definedName>
    <definedName name="EdadesNuevoRango">Video6!$D$15</definedName>
    <definedName name="EdadesRango">Video6!$D$11</definedName>
    <definedName name="HorasAmplitud">Video6!$D$33</definedName>
    <definedName name="HorasDatos">Video6!$B$23:$K$27</definedName>
    <definedName name="HorasIntervalo">Video6!$D$32</definedName>
    <definedName name="HorasMaximo">Video6!$D$30</definedName>
    <definedName name="HorasMinimo">Video6!$D$29</definedName>
    <definedName name="HorasNuevoRango">Video6!$D$35</definedName>
    <definedName name="HorasRango">Video6!$D$31</definedName>
    <definedName name="MontoAmplitud">[1]Video5!$P$33</definedName>
    <definedName name="MontoDatos">[1]Video5!$M$25:$Q$29</definedName>
    <definedName name="MontoIntervalo">[1]Video5!$P$32</definedName>
    <definedName name="MontoMaximo">[1]Video5!$N$31</definedName>
    <definedName name="MontoMinimo">[1]Video5!$M$31</definedName>
    <definedName name="MontoRango">[1]Video5!$P$31</definedName>
    <definedName name="VelocidadAmplitud">[1]Video5!$P$10</definedName>
    <definedName name="VelocidadDatos">[1]Video5!$M$2:$V$6</definedName>
    <definedName name="VelocidadMinima">[1]Video5!$N$8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" i="6" l="1"/>
  <c r="M8" i="6" s="1"/>
  <c r="N8" i="6" s="1"/>
  <c r="L8" i="6"/>
  <c r="L7" i="6"/>
  <c r="M6" i="6"/>
  <c r="N6" i="6" s="1"/>
  <c r="L6" i="6"/>
  <c r="M5" i="6"/>
  <c r="N5" i="6" s="1"/>
  <c r="L5" i="6"/>
  <c r="M4" i="6"/>
  <c r="N4" i="6" s="1"/>
  <c r="L4" i="6"/>
  <c r="M3" i="6"/>
  <c r="N3" i="6" s="1"/>
  <c r="L3" i="6"/>
  <c r="M2" i="6"/>
  <c r="L2" i="6"/>
  <c r="D2" i="6"/>
  <c r="D3" i="6"/>
  <c r="D4" i="6"/>
  <c r="D5" i="6"/>
  <c r="D6" i="6"/>
  <c r="D7" i="6"/>
  <c r="D8" i="6"/>
  <c r="C9" i="6"/>
  <c r="J8" i="5"/>
  <c r="H8" i="5"/>
  <c r="K7" i="5"/>
  <c r="K6" i="5"/>
  <c r="K5" i="5"/>
  <c r="K4" i="5"/>
  <c r="K3" i="5"/>
  <c r="K2" i="5"/>
  <c r="K8" i="5" s="1"/>
  <c r="E2" i="5"/>
  <c r="E3" i="5"/>
  <c r="E4" i="5"/>
  <c r="E5" i="5"/>
  <c r="E6" i="5"/>
  <c r="E7" i="5"/>
  <c r="D8" i="5"/>
  <c r="B8" i="5"/>
  <c r="B32" i="4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D30" i="4"/>
  <c r="D29" i="4"/>
  <c r="D32" i="4"/>
  <c r="M7" i="6" l="1"/>
  <c r="N7" i="6" s="1"/>
  <c r="M9" i="6"/>
  <c r="N2" i="6"/>
  <c r="N9" i="6" s="1"/>
  <c r="E2" i="6"/>
  <c r="E3" i="6"/>
  <c r="F3" i="6" s="1"/>
  <c r="E4" i="6"/>
  <c r="F4" i="6" s="1"/>
  <c r="E5" i="6"/>
  <c r="F5" i="6" s="1"/>
  <c r="E6" i="6"/>
  <c r="F6" i="6" s="1"/>
  <c r="E7" i="6"/>
  <c r="F7" i="6" s="1"/>
  <c r="E8" i="6"/>
  <c r="F8" i="6" s="1"/>
  <c r="E8" i="5"/>
  <c r="D31" i="4"/>
  <c r="B33" i="4" s="1"/>
  <c r="N23" i="4" a="1"/>
  <c r="N23" i="4" s="1"/>
  <c r="M8" i="4" a="1"/>
  <c r="M8" i="4" s="1"/>
  <c r="M7" i="4" a="1"/>
  <c r="M7" i="4" s="1"/>
  <c r="M6" i="4" a="1"/>
  <c r="M6" i="4" s="1"/>
  <c r="M5" i="4" a="1"/>
  <c r="M5" i="4" s="1"/>
  <c r="M4" i="4" a="1"/>
  <c r="M4" i="4" s="1"/>
  <c r="M3" i="4" a="1"/>
  <c r="M3" i="4" s="1"/>
  <c r="M2" i="4" a="1"/>
  <c r="M2" i="4" s="1"/>
  <c r="B12" i="4"/>
  <c r="D12" i="4" s="1"/>
  <c r="D10" i="4"/>
  <c r="D9" i="4"/>
  <c r="B8" i="2"/>
  <c r="C2" i="2" s="1"/>
  <c r="D33" i="4" l="1"/>
  <c r="D35" i="4" s="1"/>
  <c r="E9" i="6"/>
  <c r="F2" i="6"/>
  <c r="F9" i="6" s="1"/>
  <c r="D11" i="4"/>
  <c r="D2" i="2"/>
  <c r="C5" i="2"/>
  <c r="C7" i="2"/>
  <c r="C3" i="2"/>
  <c r="D3" i="2" s="1"/>
  <c r="C6" i="2"/>
  <c r="C4" i="2"/>
  <c r="I15" i="1"/>
  <c r="I14" i="1"/>
  <c r="I13" i="1"/>
  <c r="I12" i="1"/>
  <c r="I11" i="1"/>
  <c r="I10" i="1"/>
  <c r="O23" i="4" l="1"/>
  <c r="B13" i="4"/>
  <c r="D13" i="4" s="1"/>
  <c r="D4" i="2"/>
  <c r="D5" i="2"/>
  <c r="C8" i="2"/>
  <c r="D6" i="2"/>
  <c r="D7" i="2"/>
  <c r="B15" i="1"/>
  <c r="B14" i="1"/>
  <c r="B13" i="1"/>
  <c r="B12" i="1"/>
  <c r="B11" i="1"/>
  <c r="B10" i="1"/>
  <c r="N24" i="4" l="1" a="1"/>
  <c r="N24" i="4" s="1"/>
  <c r="Q23" i="4"/>
  <c r="S23" i="4" s="1"/>
  <c r="D15" i="4"/>
  <c r="N2" i="4" s="1" a="1"/>
  <c r="N2" i="4" s="1"/>
  <c r="C14" i="1"/>
  <c r="C12" i="1"/>
  <c r="C10" i="1"/>
  <c r="C15" i="1"/>
  <c r="C13" i="1"/>
  <c r="C11" i="1"/>
  <c r="B16" i="1"/>
  <c r="D14" i="1" s="1"/>
  <c r="E14" i="1" s="1"/>
  <c r="O24" i="4" l="1"/>
  <c r="N25" i="4" s="1" a="1"/>
  <c r="N25" i="4" s="1"/>
  <c r="Q24" i="4"/>
  <c r="S24" i="4" s="1"/>
  <c r="P23" i="4"/>
  <c r="R23" i="4"/>
  <c r="D12" i="1"/>
  <c r="E12" i="1" s="1"/>
  <c r="D13" i="1"/>
  <c r="E13" i="1" s="1"/>
  <c r="D10" i="1"/>
  <c r="E10" i="1" s="1"/>
  <c r="D15" i="1"/>
  <c r="E15" i="1" s="1"/>
  <c r="D11" i="1"/>
  <c r="E11" i="1" s="1"/>
  <c r="T23" i="4" l="1"/>
  <c r="E16" i="1"/>
  <c r="D16" i="1"/>
  <c r="J11" i="1"/>
  <c r="J15" i="1"/>
  <c r="O25" i="4" l="1"/>
  <c r="N26" i="4" s="1" a="1"/>
  <c r="N26" i="4" s="1"/>
  <c r="Q25" i="4"/>
  <c r="S25" i="4" s="1"/>
  <c r="P24" i="4"/>
  <c r="J10" i="1"/>
  <c r="J12" i="1"/>
  <c r="I16" i="1"/>
  <c r="J14" i="1"/>
  <c r="J13" i="1"/>
  <c r="R24" i="4" l="1"/>
  <c r="K13" i="1"/>
  <c r="L13" i="1" s="1"/>
  <c r="K15" i="1"/>
  <c r="L15" i="1" s="1"/>
  <c r="K14" i="1"/>
  <c r="L14" i="1" s="1"/>
  <c r="K11" i="1"/>
  <c r="L11" i="1" s="1"/>
  <c r="K12" i="1"/>
  <c r="L12" i="1" s="1"/>
  <c r="K10" i="1"/>
  <c r="O26" i="4" l="1"/>
  <c r="N27" i="4" s="1" a="1"/>
  <c r="N27" i="4" s="1"/>
  <c r="Q26" i="4"/>
  <c r="S26" i="4" s="1"/>
  <c r="T24" i="4"/>
  <c r="P25" i="4"/>
  <c r="L10" i="1"/>
  <c r="L16" i="1" s="1"/>
  <c r="K16" i="1"/>
  <c r="R25" i="4" l="1"/>
  <c r="O27" i="4" l="1"/>
  <c r="N28" i="4" s="1" a="1"/>
  <c r="N28" i="4" s="1"/>
  <c r="Q27" i="4"/>
  <c r="S27" i="4" s="1"/>
  <c r="T25" i="4"/>
  <c r="P26" i="4"/>
  <c r="R26" i="4" l="1"/>
  <c r="O28" i="4" l="1"/>
  <c r="N29" i="4" s="1" a="1"/>
  <c r="N29" i="4" s="1"/>
  <c r="Q28" i="4"/>
  <c r="S28" i="4" s="1"/>
  <c r="T26" i="4"/>
  <c r="P27" i="4"/>
  <c r="R27" i="4" l="1"/>
  <c r="O29" i="4" l="1"/>
  <c r="Q29" i="4"/>
  <c r="S29" i="4" s="1"/>
  <c r="T27" i="4"/>
  <c r="P28" i="4"/>
  <c r="R28" i="4" l="1"/>
  <c r="T28" i="4" l="1"/>
  <c r="P29" i="4"/>
  <c r="Q30" i="4" l="1"/>
  <c r="R29" i="4"/>
  <c r="T29" i="4" l="1"/>
  <c r="T30" i="4" s="1"/>
  <c r="S30" i="4"/>
  <c r="O2" i="4" l="1"/>
  <c r="N3" i="4" s="1" a="1"/>
  <c r="N3" i="4" s="1"/>
  <c r="Q2" i="4"/>
  <c r="S2" i="4" s="1"/>
  <c r="T2" i="4" s="1"/>
  <c r="R2" i="4" l="1"/>
  <c r="P2" i="4"/>
  <c r="O3" i="4" l="1"/>
  <c r="N4" i="4" s="1" a="1"/>
  <c r="N4" i="4" s="1"/>
  <c r="P3" i="4"/>
  <c r="Q3" i="4"/>
  <c r="R3" i="4" l="1"/>
  <c r="S3" i="4"/>
  <c r="O4" i="4"/>
  <c r="N5" i="4" s="1" a="1"/>
  <c r="N5" i="4" s="1"/>
  <c r="P4" i="4"/>
  <c r="Q4" i="4"/>
  <c r="R4" i="4" l="1"/>
  <c r="T3" i="4"/>
  <c r="S4" i="4"/>
  <c r="O5" i="4"/>
  <c r="N6" i="4" s="1" a="1"/>
  <c r="N6" i="4" s="1"/>
  <c r="P5" i="4"/>
  <c r="Q5" i="4" l="1"/>
  <c r="R5" i="4" s="1"/>
  <c r="T4" i="4"/>
  <c r="O6" i="4"/>
  <c r="N7" i="4" s="1" a="1"/>
  <c r="N7" i="4" s="1"/>
  <c r="S5" i="4" l="1"/>
  <c r="Q6" i="4"/>
  <c r="S6" i="4" s="1"/>
  <c r="P6" i="4"/>
  <c r="T5" i="4"/>
  <c r="O7" i="4"/>
  <c r="N8" i="4" s="1" a="1"/>
  <c r="N8" i="4" s="1"/>
  <c r="P7" i="4"/>
  <c r="R6" i="4" l="1"/>
  <c r="Q7" i="4"/>
  <c r="S7" i="4" s="1"/>
  <c r="T6" i="4"/>
  <c r="O8" i="4"/>
  <c r="P8" i="4"/>
  <c r="Q8" i="4"/>
  <c r="R7" i="4" l="1"/>
  <c r="Q9" i="4"/>
  <c r="R8" i="4"/>
  <c r="T7" i="4"/>
  <c r="S8" i="4"/>
  <c r="T8" i="4" l="1"/>
  <c r="T9" i="4" s="1"/>
  <c r="S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<sst xmlns="http://schemas.openxmlformats.org/spreadsheetml/2006/main" count="161" uniqueCount="79">
  <si>
    <t>Datos</t>
  </si>
  <si>
    <t>Edad (x)</t>
  </si>
  <si>
    <t>f</t>
  </si>
  <si>
    <t>Frecuencia Absoluta</t>
  </si>
  <si>
    <t>S</t>
  </si>
  <si>
    <t>Veces que aparece un mismo dato.</t>
  </si>
  <si>
    <t>F</t>
  </si>
  <si>
    <t>Frecuencia Absoluta Acumulada</t>
  </si>
  <si>
    <t>Acumulador de frecuencia absoluta.</t>
  </si>
  <si>
    <t>Frecuencia Relativa</t>
  </si>
  <si>
    <t>fr</t>
  </si>
  <si>
    <t>Es f(i)/n</t>
  </si>
  <si>
    <t>%</t>
  </si>
  <si>
    <t>Es fr*100</t>
  </si>
  <si>
    <t>x</t>
  </si>
  <si>
    <t>Porcentaje (frecuencia relativa porcentual)</t>
  </si>
  <si>
    <t>Causa</t>
  </si>
  <si>
    <t>Frecuencia</t>
  </si>
  <si>
    <t>Uso indebido del sistema</t>
  </si>
  <si>
    <t>Caídas en la tensión eléctrica</t>
  </si>
  <si>
    <t>Capacitación deficiente del usuario</t>
  </si>
  <si>
    <t>Fallas en la comunicación de red</t>
  </si>
  <si>
    <t>Errores propios del sistema</t>
  </si>
  <si>
    <t>Otras causas</t>
  </si>
  <si>
    <t>Frecuencia relativa porcentual</t>
  </si>
  <si>
    <t>Total</t>
  </si>
  <si>
    <t>Frecuencia relativa porcentual acumulada</t>
  </si>
  <si>
    <t>80-20</t>
  </si>
  <si>
    <t>Serie XY</t>
  </si>
  <si>
    <t>y</t>
  </si>
  <si>
    <t>Línea Verticial:</t>
  </si>
  <si>
    <t>https://www.exceldashboardtemplates.com/add-vertical-line-between-columns-in-excel-stacked-column-chart/</t>
  </si>
  <si>
    <t>@</t>
  </si>
  <si>
    <t>Marca de clase</t>
  </si>
  <si>
    <t>Frecuencia absoluta</t>
  </si>
  <si>
    <t>Frecuencia absoluta acumulada</t>
  </si>
  <si>
    <t>Frecuencia relativa</t>
  </si>
  <si>
    <t>Porcentaje</t>
  </si>
  <si>
    <t>Li</t>
  </si>
  <si>
    <t>Ls</t>
  </si>
  <si>
    <t>Intervalo</t>
  </si>
  <si>
    <t>Edades</t>
  </si>
  <si>
    <t>Límite inferior</t>
  </si>
  <si>
    <t>Límite superior</t>
  </si>
  <si>
    <t>Fac</t>
  </si>
  <si>
    <t>Fab</t>
  </si>
  <si>
    <t>Fre</t>
  </si>
  <si>
    <t>Mínimo</t>
  </si>
  <si>
    <t>Máximo</t>
  </si>
  <si>
    <t>Intervalo (K)</t>
  </si>
  <si>
    <t>Amplitud (A)</t>
  </si>
  <si>
    <t>¬</t>
  </si>
  <si>
    <t>Regla de Sturges</t>
  </si>
  <si>
    <t>Rango (R)</t>
  </si>
  <si>
    <t>Nuevo rango</t>
  </si>
  <si>
    <t>Horas</t>
  </si>
  <si>
    <t>Interval</t>
  </si>
  <si>
    <t>Porcent</t>
  </si>
  <si>
    <t>Edad</t>
  </si>
  <si>
    <t>fab</t>
  </si>
  <si>
    <t>fre</t>
  </si>
  <si>
    <t>Días</t>
  </si>
  <si>
    <t>Peso</t>
  </si>
  <si>
    <t>33-36</t>
  </si>
  <si>
    <t>36-39</t>
  </si>
  <si>
    <t>39-42</t>
  </si>
  <si>
    <t>42-45</t>
  </si>
  <si>
    <t>45-48</t>
  </si>
  <si>
    <t>48-51</t>
  </si>
  <si>
    <t>51-54</t>
  </si>
  <si>
    <t>Tabla del peso en kilogramos de 40 estudiantes</t>
  </si>
  <si>
    <t>Tabla de edades de 60 personas que ingresaron a un centro comercial</t>
  </si>
  <si>
    <t>3-13</t>
  </si>
  <si>
    <t>13-23</t>
  </si>
  <si>
    <t>23-33</t>
  </si>
  <si>
    <t>33-43</t>
  </si>
  <si>
    <t>43-53</t>
  </si>
  <si>
    <t>53-63</t>
  </si>
  <si>
    <t>63-73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</si>
</sst>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JetBrains Mono"/>
      <family val="3"/>
    </font>
    <font>
      <sz val="11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lightUp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/>
    <xf numFmtId="0" fontId="4" fillId="0" borderId="0" xfId="0" applyFont="1" applyAlignment="1">
      <alignment horizontal="center"/>
    </xf>
    <xf numFmtId="0" fontId="0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6" fillId="0" borderId="0" xfId="0" applyFont="1" applyAlignment="1"/>
    <xf numFmtId="0" fontId="6" fillId="0" borderId="0" xfId="0" applyNumberFormat="1" applyFont="1"/>
    <xf numFmtId="0" fontId="5" fillId="0" borderId="0" xfId="0" applyFont="1" applyAlignment="1"/>
    <xf numFmtId="0" fontId="6" fillId="2" borderId="0" xfId="0" applyFont="1" applyFill="1"/>
    <xf numFmtId="0" fontId="4" fillId="2" borderId="0" xfId="0" applyFont="1" applyFill="1" applyAlignment="1">
      <alignment horizontal="center"/>
    </xf>
    <xf numFmtId="49" fontId="6" fillId="0" borderId="0" xfId="0" applyNumberFormat="1" applyFont="1"/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Diagrama de Pareto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Pareto!$B$1</c:f>
              <c:strCache>
                <c:ptCount val="1"/>
                <c:pt idx="0">
                  <c:v>Frecuencia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Pareto!$A$2:$A$7</c:f>
              <c:strCache>
                <c:ptCount val="6"/>
                <c:pt idx="0">
                  <c:v>Uso indebido del sistema</c:v>
                </c:pt>
                <c:pt idx="1">
                  <c:v>Capacitación deficiente del usuario</c:v>
                </c:pt>
                <c:pt idx="2">
                  <c:v>Otras causas</c:v>
                </c:pt>
                <c:pt idx="3">
                  <c:v>Fallas en la comunicación de red</c:v>
                </c:pt>
                <c:pt idx="4">
                  <c:v>Errores propios del sistema</c:v>
                </c:pt>
                <c:pt idx="5">
                  <c:v>Caídas en la tensión eléctrica</c:v>
                </c:pt>
              </c:strCache>
            </c:strRef>
          </c:cat>
          <c:val>
            <c:numRef>
              <c:f>Pareto!$B$2:$B$7</c:f>
              <c:numCache>
                <c:formatCode>General</c:formatCode>
                <c:ptCount val="6"/>
                <c:pt idx="0">
                  <c:v>12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8317680"/>
        <c:axId val="458318008"/>
      </c:barChart>
      <c:lineChart>
        <c:grouping val="standard"/>
        <c:varyColors val="0"/>
        <c:ser>
          <c:idx val="1"/>
          <c:order val="1"/>
          <c:tx>
            <c:strRef>
              <c:f>Pareto!$D$1</c:f>
              <c:strCache>
                <c:ptCount val="1"/>
                <c:pt idx="0">
                  <c:v>Frecuencia relativa porcentual acumulada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Pareto!$A$2:$A$7</c:f>
              <c:strCache>
                <c:ptCount val="6"/>
                <c:pt idx="0">
                  <c:v>Uso indebido del sistema</c:v>
                </c:pt>
                <c:pt idx="1">
                  <c:v>Capacitación deficiente del usuario</c:v>
                </c:pt>
                <c:pt idx="2">
                  <c:v>Otras causas</c:v>
                </c:pt>
                <c:pt idx="3">
                  <c:v>Fallas en la comunicación de red</c:v>
                </c:pt>
                <c:pt idx="4">
                  <c:v>Errores propios del sistema</c:v>
                </c:pt>
                <c:pt idx="5">
                  <c:v>Caídas en la tensión eléctrica</c:v>
                </c:pt>
              </c:strCache>
            </c:strRef>
          </c:cat>
          <c:val>
            <c:numRef>
              <c:f>Pareto!$D$2:$D$7</c:f>
              <c:numCache>
                <c:formatCode>General</c:formatCode>
                <c:ptCount val="6"/>
                <c:pt idx="0">
                  <c:v>29</c:v>
                </c:pt>
                <c:pt idx="1">
                  <c:v>51</c:v>
                </c:pt>
                <c:pt idx="2">
                  <c:v>71</c:v>
                </c:pt>
                <c:pt idx="3">
                  <c:v>88</c:v>
                </c:pt>
                <c:pt idx="4">
                  <c:v>95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FF-44D8-BAAF-68AFD1872F0F}"/>
            </c:ext>
          </c:extLst>
        </c:ser>
        <c:ser>
          <c:idx val="2"/>
          <c:order val="2"/>
          <c:tx>
            <c:strRef>
              <c:f>Pareto!$E$1</c:f>
              <c:strCache>
                <c:ptCount val="1"/>
                <c:pt idx="0">
                  <c:v>80-20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Pareto!$E$2:$E$7</c:f>
              <c:numCache>
                <c:formatCode>General</c:formatCode>
                <c:ptCount val="6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69128"/>
        <c:axId val="466465848"/>
      </c:lineChart>
      <c:scatterChart>
        <c:scatterStyle val="lineMarker"/>
        <c:varyColors val="0"/>
        <c:ser>
          <c:idx val="3"/>
          <c:order val="3"/>
          <c:tx>
            <c:v>Vertical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Pareto!$H$2:$H$3</c:f>
              <c:numCache>
                <c:formatCode>General</c:formatCode>
                <c:ptCount val="2"/>
                <c:pt idx="0">
                  <c:v>3.5</c:v>
                </c:pt>
                <c:pt idx="1">
                  <c:v>3.5</c:v>
                </c:pt>
              </c:numCache>
            </c:numRef>
          </c:xVal>
          <c:yVal>
            <c:numRef>
              <c:f>Pareto!$I$2:$I$3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317680"/>
        <c:axId val="458318008"/>
      </c:scatterChart>
      <c:catAx>
        <c:axId val="45831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8318008"/>
        <c:crosses val="autoZero"/>
        <c:auto val="1"/>
        <c:lblAlgn val="ctr"/>
        <c:lblOffset val="100"/>
        <c:noMultiLvlLbl val="0"/>
      </c:catAx>
      <c:valAx>
        <c:axId val="458318008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8317680"/>
        <c:crosses val="autoZero"/>
        <c:crossBetween val="between"/>
      </c:valAx>
      <c:valAx>
        <c:axId val="466465848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6469128"/>
        <c:crosses val="max"/>
        <c:crossBetween val="between"/>
      </c:valAx>
      <c:catAx>
        <c:axId val="466469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6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</a:t>
            </a:r>
            <a:r>
              <a:rPr lang="en-US" baseline="0"/>
              <a:t> de barras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GBarras!$B$1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GBarras!$A$2:$A$8</c:f>
              <c:numCache>
                <c:formatCode>General</c:formatCode>
                <c:ptCount val="6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</c:numCache>
            </c:numRef>
          </c:cat>
          <c:val>
            <c:numRef>
              <c:f>GBarras!$B$2:$B$8</c:f>
              <c:numCache>
                <c:formatCode>General</c:formatCode>
                <c:ptCount val="6"/>
                <c:pt idx="0">
                  <c:v>6</c:v>
                </c:pt>
                <c:pt idx="1">
                  <c:v>11</c:v>
                </c:pt>
                <c:pt idx="2">
                  <c:v>8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F-4A6D-B1FA-6DCEA08FF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091552"/>
        <c:axId val="527092208"/>
      </c:barChart>
      <c:catAx>
        <c:axId val="52709155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27092208"/>
        <c:crosses val="autoZero"/>
        <c:auto val="1"/>
        <c:lblAlgn val="ctr"/>
        <c:lblOffset val="100"/>
        <c:noMultiLvlLbl val="0"/>
      </c:catAx>
      <c:valAx>
        <c:axId val="52709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Personas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2709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Días de ejercicio semanal de estudiantes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GBarras!$H$1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GBarras!$G$2:$G$8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GBarras!$H$2:$H$8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6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A-4A5F-9F6C-7CCA32BD8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309128"/>
        <c:axId val="641626616"/>
      </c:barChart>
      <c:catAx>
        <c:axId val="643309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41626616"/>
        <c:crosses val="autoZero"/>
        <c:auto val="1"/>
        <c:lblAlgn val="ctr"/>
        <c:lblOffset val="100"/>
        <c:noMultiLvlLbl val="0"/>
      </c:catAx>
      <c:valAx>
        <c:axId val="64162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Estudiantes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43309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Gráfico del peso en kilogramos de 40 estudiantes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Gráfico del peso en kilogramos de 40 estudiantes</a:t>
          </a:r>
        </a:p>
      </cx:txPr>
    </cx:title>
    <cx:plotArea>
      <cx:plotAreaRegion>
        <cx:series layoutId="clusteredColumn" uniqueId="{89584255-5F1E-4EB5-9F7B-9B5CACFA1BA2}" formatIdx="0">
          <cx:tx>
            <cx:txData>
              <cx:f>_xlchart.v1.1</cx:f>
              <cx:v>f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Kilogramos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Kilogramos</a:t>
              </a:r>
            </a:p>
          </cx:txPr>
        </cx:title>
        <cx:tickLabels/>
      </cx:axis>
      <cx:axis id="1">
        <cx:valScaling/>
        <cx:title>
          <cx:tx>
            <cx:txData>
              <cx:v>Estudiantes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Estudiantes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Gráfico de edades de 60 personas que ingresaron a un centro comercial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Gráfico de edades de 60 personas que ingresaron a un centro comercial</a:t>
          </a:r>
        </a:p>
      </cx:txPr>
    </cx:title>
    <cx:plotArea>
      <cx:plotAreaRegion>
        <cx:series layoutId="clusteredColumn" uniqueId="{38C7C52D-5630-4EFF-981F-C5B8508A3F53}" formatIdx="0">
          <cx:tx>
            <cx:txData>
              <cx:f>_xlchart.v1.4</cx:f>
              <cx:v>f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Edades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Edades</a:t>
              </a:r>
            </a:p>
          </cx:txPr>
        </cx:title>
        <cx:tickLabels/>
      </cx:axis>
      <cx:axis id="1">
        <cx:valScaling/>
        <cx:title>
          <cx:tx>
            <cx:txData>
              <cx:v>Visitantes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Visitantes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8</xdr:row>
      <xdr:rowOff>109537</xdr:rowOff>
    </xdr:from>
    <xdr:to>
      <xdr:col>9</xdr:col>
      <xdr:colOff>38100</xdr:colOff>
      <xdr:row>24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C68A5BE-0439-4D00-9BA5-D9A3C20CF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9</xdr:row>
      <xdr:rowOff>14287</xdr:rowOff>
    </xdr:from>
    <xdr:to>
      <xdr:col>4</xdr:col>
      <xdr:colOff>742950</xdr:colOff>
      <xdr:row>22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EE42490-A801-7AF4-8646-DBB7C8832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9</xdr:row>
      <xdr:rowOff>52387</xdr:rowOff>
    </xdr:from>
    <xdr:to>
      <xdr:col>11</xdr:col>
      <xdr:colOff>28575</xdr:colOff>
      <xdr:row>23</xdr:row>
      <xdr:rowOff>19050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5925EC8-A86B-B751-F003-3CE76A529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11</xdr:row>
      <xdr:rowOff>57149</xdr:rowOff>
    </xdr:from>
    <xdr:to>
      <xdr:col>7</xdr:col>
      <xdr:colOff>180975</xdr:colOff>
      <xdr:row>25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946FFF05-8ACC-C0EC-F1EC-F827FCB791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1" y="2152649"/>
              <a:ext cx="3952874" cy="27241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8</xdr:col>
      <xdr:colOff>47624</xdr:colOff>
      <xdr:row>11</xdr:row>
      <xdr:rowOff>119062</xdr:rowOff>
    </xdr:from>
    <xdr:to>
      <xdr:col>15</xdr:col>
      <xdr:colOff>400049</xdr:colOff>
      <xdr:row>28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DC8B253A-049E-69B7-85EB-9463D28157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57724" y="2214562"/>
              <a:ext cx="4600575" cy="31956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e%2002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tones"/>
      <sheetName val="Escalonado"/>
      <sheetName val="Video5"/>
    </sheetNames>
    <sheetDataSet>
      <sheetData sheetId="0">
        <row r="1">
          <cell r="B1" t="str">
            <v>Cantidad de Mujeres (fi)</v>
          </cell>
          <cell r="H1" t="str">
            <v>Alumnos (f)</v>
          </cell>
          <cell r="I1" t="str">
            <v>FAA</v>
          </cell>
        </row>
        <row r="2">
          <cell r="A2">
            <v>1</v>
          </cell>
          <cell r="B2">
            <v>4</v>
          </cell>
          <cell r="G2">
            <v>1</v>
          </cell>
          <cell r="H2">
            <v>4</v>
          </cell>
          <cell r="I2">
            <v>4</v>
          </cell>
        </row>
        <row r="3">
          <cell r="A3">
            <v>2</v>
          </cell>
          <cell r="B3">
            <v>5</v>
          </cell>
          <cell r="G3">
            <v>2</v>
          </cell>
          <cell r="H3">
            <v>5</v>
          </cell>
          <cell r="I3">
            <v>9</v>
          </cell>
        </row>
        <row r="4">
          <cell r="A4">
            <v>3</v>
          </cell>
          <cell r="B4">
            <v>8</v>
          </cell>
          <cell r="G4">
            <v>3</v>
          </cell>
          <cell r="H4">
            <v>8</v>
          </cell>
          <cell r="I4">
            <v>17</v>
          </cell>
        </row>
        <row r="5">
          <cell r="A5">
            <v>4</v>
          </cell>
          <cell r="B5">
            <v>6</v>
          </cell>
          <cell r="G5">
            <v>4</v>
          </cell>
          <cell r="H5">
            <v>6</v>
          </cell>
          <cell r="I5">
            <v>23</v>
          </cell>
        </row>
        <row r="6">
          <cell r="A6">
            <v>5</v>
          </cell>
          <cell r="B6">
            <v>3</v>
          </cell>
          <cell r="G6">
            <v>5</v>
          </cell>
          <cell r="H6">
            <v>3</v>
          </cell>
          <cell r="I6">
            <v>26</v>
          </cell>
        </row>
      </sheetData>
      <sheetData sheetId="1">
        <row r="1">
          <cell r="C1" t="str">
            <v>Fac</v>
          </cell>
        </row>
        <row r="2">
          <cell r="B2">
            <v>1</v>
          </cell>
          <cell r="C2">
            <v>4</v>
          </cell>
        </row>
        <row r="3">
          <cell r="B3">
            <v>2</v>
          </cell>
          <cell r="C3">
            <v>4</v>
          </cell>
        </row>
        <row r="4">
          <cell r="B4">
            <v>2</v>
          </cell>
          <cell r="C4">
            <v>9</v>
          </cell>
        </row>
        <row r="5">
          <cell r="B5">
            <v>3</v>
          </cell>
          <cell r="C5">
            <v>9</v>
          </cell>
        </row>
        <row r="6">
          <cell r="B6">
            <v>3</v>
          </cell>
          <cell r="C6">
            <v>17</v>
          </cell>
        </row>
        <row r="7">
          <cell r="B7">
            <v>4</v>
          </cell>
          <cell r="C7">
            <v>17</v>
          </cell>
        </row>
        <row r="8">
          <cell r="B8">
            <v>4</v>
          </cell>
          <cell r="C8">
            <v>23</v>
          </cell>
        </row>
        <row r="9">
          <cell r="B9">
            <v>5</v>
          </cell>
          <cell r="C9">
            <v>23</v>
          </cell>
        </row>
        <row r="10">
          <cell r="B10">
            <v>5</v>
          </cell>
          <cell r="C10">
            <v>26</v>
          </cell>
        </row>
      </sheetData>
      <sheetData sheetId="2">
        <row r="2">
          <cell r="M2">
            <v>52</v>
          </cell>
          <cell r="N2">
            <v>54</v>
          </cell>
          <cell r="O2">
            <v>51</v>
          </cell>
          <cell r="P2">
            <v>53</v>
          </cell>
          <cell r="Q2">
            <v>51</v>
          </cell>
          <cell r="R2">
            <v>32</v>
          </cell>
          <cell r="S2">
            <v>51</v>
          </cell>
          <cell r="T2">
            <v>45</v>
          </cell>
          <cell r="U2">
            <v>52</v>
          </cell>
          <cell r="V2">
            <v>48</v>
          </cell>
        </row>
        <row r="3">
          <cell r="M3">
            <v>56</v>
          </cell>
          <cell r="N3">
            <v>30</v>
          </cell>
          <cell r="O3">
            <v>52</v>
          </cell>
          <cell r="P3">
            <v>50</v>
          </cell>
          <cell r="Q3">
            <v>54</v>
          </cell>
          <cell r="R3">
            <v>52</v>
          </cell>
          <cell r="S3">
            <v>55</v>
          </cell>
          <cell r="T3">
            <v>53</v>
          </cell>
          <cell r="U3">
            <v>55</v>
          </cell>
          <cell r="V3">
            <v>53</v>
          </cell>
        </row>
        <row r="4">
          <cell r="M4">
            <v>49</v>
          </cell>
          <cell r="N4">
            <v>51</v>
          </cell>
          <cell r="O4">
            <v>57</v>
          </cell>
          <cell r="P4">
            <v>27</v>
          </cell>
          <cell r="Q4">
            <v>54</v>
          </cell>
          <cell r="R4">
            <v>53</v>
          </cell>
          <cell r="S4">
            <v>50</v>
          </cell>
          <cell r="T4">
            <v>56</v>
          </cell>
          <cell r="U4">
            <v>37</v>
          </cell>
          <cell r="V4">
            <v>52</v>
          </cell>
        </row>
        <row r="5">
          <cell r="M5">
            <v>54</v>
          </cell>
          <cell r="N5">
            <v>60</v>
          </cell>
          <cell r="O5">
            <v>51</v>
          </cell>
          <cell r="P5">
            <v>55</v>
          </cell>
          <cell r="Q5">
            <v>60</v>
          </cell>
          <cell r="R5">
            <v>45</v>
          </cell>
          <cell r="S5">
            <v>68</v>
          </cell>
          <cell r="T5">
            <v>53</v>
          </cell>
          <cell r="U5">
            <v>51</v>
          </cell>
          <cell r="V5">
            <v>60</v>
          </cell>
        </row>
        <row r="6">
          <cell r="M6">
            <v>56</v>
          </cell>
          <cell r="N6">
            <v>41</v>
          </cell>
          <cell r="O6">
            <v>54</v>
          </cell>
          <cell r="P6">
            <v>52</v>
          </cell>
          <cell r="Q6">
            <v>47</v>
          </cell>
          <cell r="R6">
            <v>51</v>
          </cell>
          <cell r="S6">
            <v>52</v>
          </cell>
          <cell r="T6">
            <v>55</v>
          </cell>
          <cell r="U6">
            <v>71</v>
          </cell>
          <cell r="V6">
            <v>56</v>
          </cell>
        </row>
        <row r="8">
          <cell r="N8">
            <v>27</v>
          </cell>
        </row>
        <row r="10">
          <cell r="P10">
            <v>7</v>
          </cell>
        </row>
        <row r="25">
          <cell r="M25">
            <v>206.1</v>
          </cell>
          <cell r="N25">
            <v>216.9</v>
          </cell>
          <cell r="O25">
            <v>214.4</v>
          </cell>
          <cell r="P25">
            <v>210.4</v>
          </cell>
          <cell r="Q25">
            <v>228.9</v>
          </cell>
        </row>
        <row r="26">
          <cell r="M26">
            <v>216.1</v>
          </cell>
          <cell r="N26">
            <v>201.2</v>
          </cell>
          <cell r="O26">
            <v>203.4</v>
          </cell>
          <cell r="P26">
            <v>211.3</v>
          </cell>
          <cell r="Q26">
            <v>218.3</v>
          </cell>
        </row>
        <row r="27">
          <cell r="M27">
            <v>208.4</v>
          </cell>
          <cell r="N27">
            <v>210</v>
          </cell>
          <cell r="O27">
            <v>224.1</v>
          </cell>
          <cell r="P27">
            <v>212.2</v>
          </cell>
          <cell r="Q27">
            <v>207.8</v>
          </cell>
        </row>
        <row r="28">
          <cell r="M28">
            <v>214.8</v>
          </cell>
          <cell r="N28">
            <v>204.7</v>
          </cell>
          <cell r="O28">
            <v>205.8</v>
          </cell>
          <cell r="P28">
            <v>213.9</v>
          </cell>
          <cell r="Q28">
            <v>217.4</v>
          </cell>
        </row>
        <row r="29">
          <cell r="M29">
            <v>222.4</v>
          </cell>
          <cell r="N29">
            <v>215.2</v>
          </cell>
          <cell r="O29">
            <v>219.8</v>
          </cell>
          <cell r="P29">
            <v>211.4</v>
          </cell>
          <cell r="Q29">
            <v>210.8</v>
          </cell>
        </row>
        <row r="31">
          <cell r="M31">
            <v>201.2</v>
          </cell>
          <cell r="N31">
            <v>228.9</v>
          </cell>
          <cell r="P31">
            <v>27.700000000000017</v>
          </cell>
        </row>
        <row r="32">
          <cell r="P32">
            <v>7</v>
          </cell>
        </row>
        <row r="33">
          <cell r="P33">
            <v>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Ejercicio" displayName="TablaEjercicio" ref="A1:E8" totalsRowCount="1" headerRowDxfId="70">
  <sortState xmlns:xlrd2="http://schemas.microsoft.com/office/spreadsheetml/2017/richdata2" ref="A2:B7">
    <sortCondition descending="1" ref="B2"/>
  </sortState>
  <tableColumns count="5">
    <tableColumn id="1" xr3:uid="{00000000-0010-0000-0000-000001000000}" name="Causa" totalsRowLabel="Total"/>
    <tableColumn id="2" xr3:uid="{00000000-0010-0000-0000-000002000000}" name="Frecuencia" totalsRowFunction="sum"/>
    <tableColumn id="3" xr3:uid="{00000000-0010-0000-0000-000003000000}" name="Frecuencia relativa porcentual" totalsRowFunction="sum" dataDxfId="69">
      <calculatedColumnFormula>ROUND(TablaEjercicio[[#This Row],[Frecuencia]]/TablaEjercicio[[#Totals],[Frecuencia]]*100,0)</calculatedColumnFormula>
    </tableColumn>
    <tableColumn id="4" xr3:uid="{00000000-0010-0000-0000-000004000000}" name="Frecuencia relativa porcentual acumulada" dataDxfId="68">
      <calculatedColumnFormula>SUM(INDEX(TablaEjercicio[Frecuencia relativa porcentual],1):TablaEjercicio[[#This Row],[Frecuencia relativa porcentual]])</calculatedColumnFormula>
    </tableColumn>
    <tableColumn id="5" xr3:uid="{6967DDD7-2B34-4899-8D09-AEB99E7DDD02}" name="80-20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81EB00-321D-4B93-AEDE-266C0C67A6F6}" name="Tabla3" displayName="Tabla3" ref="M1:T9" totalsRowCount="1" headerRowDxfId="67" dataDxfId="66">
  <tableColumns count="8">
    <tableColumn id="1" xr3:uid="{232F9B45-447A-40B7-B74F-4FE7C9BE2603}" name="Intervalo" totalsRowLabel="Total" dataDxfId="65" totalsRowDxfId="64">
      <calculatedColumnFormula array="1">ROW(1:1)</calculatedColumnFormula>
    </tableColumn>
    <tableColumn id="2" xr3:uid="{4D118E85-6EA7-480C-B956-1F53E4957845}" name="Li" dataDxfId="63" totalsRowDxfId="62">
      <calculatedColumnFormula array="1">IF(Tabla3[[#This Row],[Intervalo]]=1,EdadesMinimo-(EdadesNuevoRango/2),INDEX(Tabla3[Ls],Tabla3[[#This Row],[Intervalo]]-1))</calculatedColumnFormula>
    </tableColumn>
    <tableColumn id="3" xr3:uid="{E5BED6C7-BE74-45ED-B47E-F7B1E786DAB0}" name="Ls" dataDxfId="61" totalsRowDxfId="60">
      <calculatedColumnFormula>Tabla3[[#This Row],[Li]]+EdadesAmplitud</calculatedColumnFormula>
    </tableColumn>
    <tableColumn id="4" xr3:uid="{415AB08A-FAE7-4C22-A0FA-9190C0850950}" name="x" dataDxfId="59" totalsRowDxfId="58">
      <calculatedColumnFormula>AVERAGE(Tabla3[[#This Row],[Li]],Tabla3[[#This Row],[Ls]])</calculatedColumnFormula>
    </tableColumn>
    <tableColumn id="5" xr3:uid="{A44A0501-9BA4-4EC2-A260-0DB545AE4011}" name="Fab" totalsRowFunction="sum" dataDxfId="57" totalsRowDxfId="56">
      <calculatedColumnFormula>COUNTIFS(EdadesDatos,"&gt;="&amp;Tabla3[[#This Row],[Li]],EdadesDatos,"&lt;"&amp;Tabla3[[#This Row],[Ls]])</calculatedColumnFormula>
    </tableColumn>
    <tableColumn id="6" xr3:uid="{68C54D13-ACDA-4A0A-A339-895361D688D3}" name="Fac" dataDxfId="55" totalsRowDxfId="54">
      <calculatedColumnFormula>SUM(INDEX(Tabla3[Fab],1):Tabla3[[#This Row],[Fab]])</calculatedColumnFormula>
    </tableColumn>
    <tableColumn id="7" xr3:uid="{D98175C7-3596-4076-B515-7BCE9AD30C3E}" name="Fre" totalsRowFunction="sum" dataDxfId="53" totalsRowDxfId="52">
      <calculatedColumnFormula>Tabla3[[#This Row],[Fab]]/COUNT(EdadesDatos)</calculatedColumnFormula>
    </tableColumn>
    <tableColumn id="8" xr3:uid="{910DF734-058E-4C54-9B3F-E2EECED6859C}" name="Porcentaje" totalsRowFunction="sum" dataDxfId="51" totalsRowDxfId="50">
      <calculatedColumnFormula>Tabla3[[#This Row],[Fre]]*100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E1B53-3FA1-4535-97AB-C3383C2399DC}" name="HorasTabla" displayName="HorasTabla" ref="M22:T30" totalsRowCount="1" headerRowDxfId="49" dataDxfId="48">
  <tableColumns count="8">
    <tableColumn id="1" xr3:uid="{7E0FFDAC-17B2-487B-90CE-01301CE9120F}" name="Interval" totalsRowLabel="Total" dataDxfId="47" totalsRowDxfId="46">
      <calculatedColumnFormula array="1">ROW(1:1)</calculatedColumnFormula>
    </tableColumn>
    <tableColumn id="2" xr3:uid="{A572D211-8943-48C3-94B5-77627F28FB47}" name="Li" dataDxfId="45" totalsRowDxfId="44">
      <calculatedColumnFormula array="1">IF(HorasTabla[[#This Row],[Interval]]=1,HorasMinimo,INDEX(HorasTabla[Ls],HorasTabla[[#This Row],[Interval]]-1))</calculatedColumnFormula>
    </tableColumn>
    <tableColumn id="3" xr3:uid="{5F43143E-70A3-4310-AAD3-C8718D116957}" name="Ls" dataDxfId="43" totalsRowDxfId="42">
      <calculatedColumnFormula>HorasTabla[[#This Row],[Li]]+HorasAmplitud</calculatedColumnFormula>
    </tableColumn>
    <tableColumn id="4" xr3:uid="{EF0CC855-F805-473D-BE26-69CBF1656CCE}" name="x" dataDxfId="41" totalsRowDxfId="40">
      <calculatedColumnFormula>AVERAGE(HorasTabla[[#This Row],[Li]],HorasTabla[[#This Row],[Ls]])</calculatedColumnFormula>
    </tableColumn>
    <tableColumn id="5" xr3:uid="{D7C90DA4-E208-4D98-99DD-4C3F92306AC0}" name="Fab" totalsRowFunction="sum" dataDxfId="39" totalsRowDxfId="38">
      <calculatedColumnFormula>COUNTIFS(HorasDatos,"&gt;="&amp;HorasTabla[[#This Row],[Li]],HorasDatos,"&lt;"&amp;HorasTabla[[#This Row],[Ls]])</calculatedColumnFormula>
    </tableColumn>
    <tableColumn id="6" xr3:uid="{7CD30B42-13D9-4431-BA16-F5DE4FDE8893}" name="Fac" dataDxfId="37" totalsRowDxfId="36">
      <calculatedColumnFormula>SUM(INDEX(HorasTabla[Fab],1):HorasTabla[[#This Row],[Fab]])</calculatedColumnFormula>
    </tableColumn>
    <tableColumn id="7" xr3:uid="{D6F72C58-6AB5-4E12-ACF1-8F5447E7AA37}" name="Fre" totalsRowFunction="sum" dataDxfId="35" totalsRowDxfId="34">
      <calculatedColumnFormula>HorasTabla[[#This Row],[Fab]]/COUNT(HorasDatos)</calculatedColumnFormula>
    </tableColumn>
    <tableColumn id="8" xr3:uid="{6A11D84D-8745-4BB3-A4CC-9EB2D4633332}" name="Porcent" totalsRowFunction="sum" dataDxfId="33" totalsRowDxfId="32">
      <calculatedColumnFormula>HorasTabla[[#This Row],[Fre]]*100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7CCEE1-A1A1-4AD2-A9A3-28BA8C94C765}" name="EdadesTabla" displayName="EdadesTabla" ref="A1:E8" totalsRowCount="1">
  <autoFilter ref="A1:E7" xr:uid="{C27CCEE1-A1A1-4AD2-A9A3-28BA8C94C765}"/>
  <tableColumns count="5">
    <tableColumn id="1" xr3:uid="{A15EDEB4-4A28-4A3E-A82D-C4B2D439076F}" name="Edad" totalsRowLabel="Total"/>
    <tableColumn id="2" xr3:uid="{99A25B33-85B8-4325-8EBD-BAE8B7A93989}" name="fab" totalsRowFunction="sum"/>
    <tableColumn id="3" xr3:uid="{90CBD1DB-3918-46C0-95A8-48560759B6D5}" name="Fac"/>
    <tableColumn id="4" xr3:uid="{C5BAABD4-C2D7-4413-93D3-491B2421D260}" name="fre" totalsRowFunction="sum"/>
    <tableColumn id="5" xr3:uid="{3E04E743-67C4-4E4A-8977-5A65F2C68F13}" name="%" totalsRowFunction="sum" dataDxfId="31">
      <calculatedColumnFormula>EdadesTabla[[#This Row],[fre]]*100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FA1CFF-E90E-429B-BD2A-B641D0395C74}" name="EdadesTabla7" displayName="EdadesTabla7" ref="G1:K8" totalsRowCount="1">
  <autoFilter ref="G1:K7" xr:uid="{57FA1CFF-E90E-429B-BD2A-B641D0395C74}"/>
  <tableColumns count="5">
    <tableColumn id="1" xr3:uid="{9C43A51B-ECF0-40A2-AF89-6AEB34BCEC6C}" name="Días" totalsRowLabel="Total"/>
    <tableColumn id="2" xr3:uid="{876A90DD-0C14-4779-A3FD-B77359066D18}" name="fab" totalsRowFunction="sum"/>
    <tableColumn id="3" xr3:uid="{C84660E0-B005-4A84-898C-DA400BC950AA}" name="Fac"/>
    <tableColumn id="4" xr3:uid="{AADD1174-3044-45E1-9509-D9C09B92F316}" name="fre" totalsRowFunction="sum"/>
    <tableColumn id="5" xr3:uid="{059DF08B-3977-4BA9-8867-8CFF174F255C}" name="%" totalsRowFunction="sum" dataDxfId="30">
      <calculatedColumnFormula>EdadesTabla7[[#This Row],[fre]]*100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629281-7C0C-4B7C-A02E-13A553704674}" name="Tabla7" displayName="Tabla7" ref="A1:F9" totalsRowCount="1" headerRowDxfId="29" dataDxfId="28" totalsRowDxfId="27">
  <tableColumns count="6">
    <tableColumn id="1" xr3:uid="{BE86102C-2EF1-4B15-9517-152982D38530}" name="Peso" totalsRowLabel="Total" dataDxfId="26" totalsRowDxfId="25"/>
    <tableColumn id="2" xr3:uid="{BFDB7706-FF93-4D45-8BD2-E4D05917E6E5}" name="x" dataDxfId="24" totalsRowDxfId="23"/>
    <tableColumn id="3" xr3:uid="{549AEC2D-881B-4C84-9D83-D78CD94F106F}" name="f" totalsRowFunction="sum" dataDxfId="22" totalsRowDxfId="21"/>
    <tableColumn id="4" xr3:uid="{294955CF-84B2-4F2A-A869-2F48DF58FB93}" name="Fac" dataDxfId="20" totalsRowDxfId="19">
      <calculatedColumnFormula>SUM(INDEX(Tabla7[f],1):Tabla7[[#This Row],[f]])</calculatedColumnFormula>
    </tableColumn>
    <tableColumn id="5" xr3:uid="{3DBE6DBB-20A7-4C1D-9532-544BD6CC5EA6}" name="fr" totalsRowFunction="sum" dataDxfId="18" totalsRowDxfId="17">
      <calculatedColumnFormula>Tabla7[[#This Row],[f]]/Tabla7[[#Totals],[f]]</calculatedColumnFormula>
    </tableColumn>
    <tableColumn id="6" xr3:uid="{89276538-8C50-4975-B4F1-377877667554}" name="%" totalsRowFunction="sum" dataDxfId="16" totalsRowDxfId="15">
      <calculatedColumnFormula>Tabla7[[#This Row],[fr]]*100</calculatedColumnFormula>
    </tableColumn>
  </tableColumns>
  <tableStyleInfo name="TableStyleLight15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C5C18F-89DA-4B86-8F8B-E0F8AAD442FB}" name="Tabla79" displayName="Tabla79" ref="I1:N9" totalsRowCount="1" headerRowDxfId="14" dataDxfId="13" totalsRowDxfId="12">
  <tableColumns count="6">
    <tableColumn id="1" xr3:uid="{FFB1FDF1-9B47-4582-A729-82B1F9484E84}" name="Edad" totalsRowLabel="Total" dataDxfId="11" totalsRowDxfId="10"/>
    <tableColumn id="2" xr3:uid="{8087F899-024F-4CF7-970F-389C51A41461}" name="x" dataDxfId="9" totalsRowDxfId="8"/>
    <tableColumn id="3" xr3:uid="{00CA0D8D-66C7-440D-B2B6-34C9A7E8C573}" name="f" totalsRowFunction="sum" dataDxfId="7" totalsRowDxfId="6"/>
    <tableColumn id="4" xr3:uid="{A560F1DC-BD84-4704-8CF7-5BE995D34B4B}" name="Fac" dataDxfId="5" totalsRowDxfId="4">
      <calculatedColumnFormula>SUM(INDEX(Tabla79[f],1):Tabla79[[#This Row],[f]])</calculatedColumnFormula>
    </tableColumn>
    <tableColumn id="5" xr3:uid="{B675E33D-10B1-475E-8B92-933C90D17699}" name="fr" totalsRowFunction="sum" dataDxfId="3" totalsRowDxfId="2">
      <calculatedColumnFormula>Tabla79[[#This Row],[f]]/Tabla79[[#Totals],[f]]</calculatedColumnFormula>
    </tableColumn>
    <tableColumn id="6" xr3:uid="{1D684A39-A130-4CCA-A76F-A1767162661E}" name="%" totalsRowFunction="sum" dataDxfId="1" totalsRowDxfId="0">
      <calculatedColumnFormula>Tabla79[[#This Row],[fr]]*100</calculatedColumnFormula>
    </tableColumn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www.exceldashboardtemplates.com/add-vertical-line-between-columns-in-excel-stacked-column-char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workbookViewId="0">
      <selection sqref="A1:F1"/>
    </sheetView>
  </sheetViews>
  <sheetFormatPr baseColWidth="10" defaultColWidth="9.140625" defaultRowHeight="15" x14ac:dyDescent="0.25"/>
  <cols>
    <col min="1" max="1" width="8.140625" customWidth="1"/>
    <col min="2" max="6" width="5.7109375" customWidth="1"/>
    <col min="8" max="12" width="5.7109375" customWidth="1"/>
  </cols>
  <sheetData>
    <row r="1" spans="1:13" x14ac:dyDescent="0.25">
      <c r="A1" s="25" t="s">
        <v>0</v>
      </c>
      <c r="B1" s="25"/>
      <c r="C1" s="25"/>
      <c r="D1" s="25"/>
      <c r="E1" s="25"/>
      <c r="F1" s="25"/>
      <c r="H1" s="25" t="s">
        <v>0</v>
      </c>
      <c r="I1" s="25"/>
      <c r="J1" s="25"/>
      <c r="K1" s="25"/>
      <c r="L1" s="25"/>
      <c r="M1" s="6"/>
    </row>
    <row r="2" spans="1:13" x14ac:dyDescent="0.25">
      <c r="A2" s="1">
        <v>16</v>
      </c>
      <c r="B2" s="1">
        <v>13</v>
      </c>
      <c r="C2" s="1">
        <v>14</v>
      </c>
      <c r="D2" s="1">
        <v>15</v>
      </c>
      <c r="E2" s="1">
        <v>14</v>
      </c>
      <c r="F2" s="1">
        <v>13</v>
      </c>
      <c r="H2" s="7">
        <v>1</v>
      </c>
      <c r="I2" s="7">
        <v>2</v>
      </c>
      <c r="J2" s="7">
        <v>0</v>
      </c>
      <c r="K2" s="7">
        <v>2</v>
      </c>
      <c r="L2" s="7">
        <v>1</v>
      </c>
    </row>
    <row r="3" spans="1:13" x14ac:dyDescent="0.25">
      <c r="A3" s="1">
        <v>15</v>
      </c>
      <c r="B3" s="1">
        <v>14</v>
      </c>
      <c r="C3" s="1">
        <v>14</v>
      </c>
      <c r="D3" s="1">
        <v>14</v>
      </c>
      <c r="E3" s="1">
        <v>13</v>
      </c>
      <c r="F3" s="1">
        <v>15</v>
      </c>
      <c r="H3" s="8">
        <v>3</v>
      </c>
      <c r="I3" s="8">
        <v>5</v>
      </c>
      <c r="J3" s="8">
        <v>1</v>
      </c>
      <c r="K3" s="8">
        <v>2</v>
      </c>
      <c r="L3" s="8">
        <v>0</v>
      </c>
    </row>
    <row r="4" spans="1:13" x14ac:dyDescent="0.25">
      <c r="A4" s="1">
        <v>14</v>
      </c>
      <c r="B4" s="1">
        <v>15</v>
      </c>
      <c r="C4" s="1">
        <v>13</v>
      </c>
      <c r="D4" s="1">
        <v>16</v>
      </c>
      <c r="E4" s="1">
        <v>15</v>
      </c>
      <c r="F4" s="1">
        <v>14</v>
      </c>
      <c r="H4" s="8">
        <v>1</v>
      </c>
      <c r="I4" s="8">
        <v>2</v>
      </c>
      <c r="J4" s="8">
        <v>3</v>
      </c>
      <c r="K4" s="8">
        <v>0</v>
      </c>
      <c r="L4" s="8">
        <v>2</v>
      </c>
    </row>
    <row r="5" spans="1:13" x14ac:dyDescent="0.25">
      <c r="A5" s="1">
        <v>15</v>
      </c>
      <c r="B5" s="1">
        <v>13</v>
      </c>
      <c r="C5" s="1">
        <v>14</v>
      </c>
      <c r="D5" s="1">
        <v>14</v>
      </c>
      <c r="E5" s="1">
        <v>14</v>
      </c>
      <c r="F5" s="1">
        <v>16</v>
      </c>
      <c r="H5" s="8">
        <v>3</v>
      </c>
      <c r="I5" s="8">
        <v>0</v>
      </c>
      <c r="J5" s="8">
        <v>1</v>
      </c>
      <c r="K5" s="8">
        <v>4</v>
      </c>
      <c r="L5" s="8">
        <v>1</v>
      </c>
    </row>
    <row r="6" spans="1:13" x14ac:dyDescent="0.25">
      <c r="A6" s="1">
        <v>18</v>
      </c>
      <c r="B6" s="1">
        <v>14</v>
      </c>
      <c r="C6" s="1">
        <v>15</v>
      </c>
      <c r="D6" s="1">
        <v>13</v>
      </c>
      <c r="E6" s="1">
        <v>16</v>
      </c>
      <c r="F6" s="1">
        <v>15</v>
      </c>
      <c r="H6" s="8">
        <v>0</v>
      </c>
      <c r="I6" s="8">
        <v>1</v>
      </c>
      <c r="J6" s="8">
        <v>2</v>
      </c>
      <c r="K6" s="8">
        <v>0</v>
      </c>
      <c r="L6" s="8">
        <v>3</v>
      </c>
    </row>
    <row r="9" spans="1:13" x14ac:dyDescent="0.25">
      <c r="A9" s="2" t="s">
        <v>1</v>
      </c>
      <c r="B9" s="2" t="s">
        <v>2</v>
      </c>
      <c r="C9" s="2" t="s">
        <v>6</v>
      </c>
      <c r="D9" s="2" t="s">
        <v>10</v>
      </c>
      <c r="E9" s="2" t="s">
        <v>12</v>
      </c>
      <c r="H9" s="2" t="s">
        <v>14</v>
      </c>
      <c r="I9" s="2" t="s">
        <v>2</v>
      </c>
      <c r="J9" s="2" t="s">
        <v>6</v>
      </c>
      <c r="K9" s="2" t="s">
        <v>10</v>
      </c>
      <c r="L9" s="2" t="s">
        <v>12</v>
      </c>
    </row>
    <row r="10" spans="1:13" x14ac:dyDescent="0.25">
      <c r="A10" s="1">
        <v>13</v>
      </c>
      <c r="B10" s="1">
        <f>COUNTIF($A$2:$F$6,A10)</f>
        <v>6</v>
      </c>
      <c r="C10" s="1">
        <f>SUM(INDEX(B$10:B$15,1):B10)</f>
        <v>6</v>
      </c>
      <c r="D10" s="1">
        <f>B10/B$16</f>
        <v>0.2</v>
      </c>
      <c r="E10" s="1">
        <f>D10*100</f>
        <v>20</v>
      </c>
      <c r="H10" s="9">
        <v>0</v>
      </c>
      <c r="I10" s="9">
        <f>COUNTIF(H$2:L$6,H10)</f>
        <v>6</v>
      </c>
      <c r="J10" s="9">
        <f>SUM(INDEX(I$10:I$15,1):I10)</f>
        <v>6</v>
      </c>
      <c r="K10" s="9">
        <f>I10/I$16</f>
        <v>0.24</v>
      </c>
      <c r="L10" s="9">
        <f>K10*100</f>
        <v>24</v>
      </c>
    </row>
    <row r="11" spans="1:13" x14ac:dyDescent="0.25">
      <c r="A11" s="1">
        <v>14</v>
      </c>
      <c r="B11" s="1">
        <f t="shared" ref="B11:B15" si="0">COUNTIF($A$2:$F$6,A11)</f>
        <v>11</v>
      </c>
      <c r="C11" s="1">
        <f>SUM(INDEX(B$10:B$15,1):B11)</f>
        <v>17</v>
      </c>
      <c r="D11" s="1">
        <f t="shared" ref="D11:D15" si="1">B11/B$16</f>
        <v>0.36666666666666664</v>
      </c>
      <c r="E11" s="1">
        <f t="shared" ref="E11:E15" si="2">D11*100</f>
        <v>36.666666666666664</v>
      </c>
      <c r="H11" s="9">
        <v>1</v>
      </c>
      <c r="I11" s="9">
        <f t="shared" ref="I11:I15" si="3">COUNTIF(H$2:L$6,H11)</f>
        <v>7</v>
      </c>
      <c r="J11" s="9">
        <f>SUM(INDEX(I$10:I$15,1):I11)</f>
        <v>13</v>
      </c>
      <c r="K11" s="9">
        <f t="shared" ref="K11:K15" si="4">I11/I$16</f>
        <v>0.28000000000000003</v>
      </c>
      <c r="L11" s="9">
        <f t="shared" ref="L11:L15" si="5">K11*100</f>
        <v>28.000000000000004</v>
      </c>
    </row>
    <row r="12" spans="1:13" x14ac:dyDescent="0.25">
      <c r="A12" s="1">
        <v>15</v>
      </c>
      <c r="B12" s="1">
        <f t="shared" si="0"/>
        <v>8</v>
      </c>
      <c r="C12" s="1">
        <f>SUM(INDEX(B$10:B$15,1):B12)</f>
        <v>25</v>
      </c>
      <c r="D12" s="1">
        <f t="shared" si="1"/>
        <v>0.26666666666666666</v>
      </c>
      <c r="E12" s="1">
        <f t="shared" si="2"/>
        <v>26.666666666666668</v>
      </c>
      <c r="H12" s="9">
        <v>2</v>
      </c>
      <c r="I12" s="9">
        <f t="shared" si="3"/>
        <v>6</v>
      </c>
      <c r="J12" s="9">
        <f>SUM(INDEX(I$10:I$15,1):I12)</f>
        <v>19</v>
      </c>
      <c r="K12" s="9">
        <f t="shared" si="4"/>
        <v>0.24</v>
      </c>
      <c r="L12" s="9">
        <f t="shared" si="5"/>
        <v>24</v>
      </c>
    </row>
    <row r="13" spans="1:13" x14ac:dyDescent="0.25">
      <c r="A13" s="1">
        <v>16</v>
      </c>
      <c r="B13" s="1">
        <f t="shared" si="0"/>
        <v>4</v>
      </c>
      <c r="C13" s="1">
        <f>SUM(INDEX(B$10:B$15,1):B13)</f>
        <v>29</v>
      </c>
      <c r="D13" s="1">
        <f t="shared" si="1"/>
        <v>0.13333333333333333</v>
      </c>
      <c r="E13" s="1">
        <f t="shared" si="2"/>
        <v>13.333333333333334</v>
      </c>
      <c r="H13" s="9">
        <v>3</v>
      </c>
      <c r="I13" s="9">
        <f t="shared" si="3"/>
        <v>4</v>
      </c>
      <c r="J13" s="9">
        <f>SUM(INDEX(I$10:I$15,1):I13)</f>
        <v>23</v>
      </c>
      <c r="K13" s="9">
        <f t="shared" si="4"/>
        <v>0.16</v>
      </c>
      <c r="L13" s="9">
        <f t="shared" si="5"/>
        <v>16</v>
      </c>
    </row>
    <row r="14" spans="1:13" x14ac:dyDescent="0.25">
      <c r="A14" s="1">
        <v>17</v>
      </c>
      <c r="B14" s="1">
        <f t="shared" si="0"/>
        <v>0</v>
      </c>
      <c r="C14" s="1">
        <f>SUM(INDEX(B$10:B$15,1):B14)</f>
        <v>29</v>
      </c>
      <c r="D14" s="1">
        <f t="shared" si="1"/>
        <v>0</v>
      </c>
      <c r="E14" s="1">
        <f t="shared" si="2"/>
        <v>0</v>
      </c>
      <c r="H14" s="9">
        <v>4</v>
      </c>
      <c r="I14" s="9">
        <f t="shared" si="3"/>
        <v>1</v>
      </c>
      <c r="J14" s="9">
        <f>SUM(INDEX(I$10:I$15,1):I14)</f>
        <v>24</v>
      </c>
      <c r="K14" s="9">
        <f t="shared" si="4"/>
        <v>0.04</v>
      </c>
      <c r="L14" s="9">
        <f t="shared" si="5"/>
        <v>4</v>
      </c>
    </row>
    <row r="15" spans="1:13" x14ac:dyDescent="0.25">
      <c r="A15" s="1">
        <v>18</v>
      </c>
      <c r="B15" s="1">
        <f t="shared" si="0"/>
        <v>1</v>
      </c>
      <c r="C15" s="1">
        <f>SUM(INDEX(B$10:B$15,1):B15)</f>
        <v>30</v>
      </c>
      <c r="D15" s="1">
        <f t="shared" si="1"/>
        <v>3.3333333333333333E-2</v>
      </c>
      <c r="E15" s="1">
        <f t="shared" si="2"/>
        <v>3.3333333333333335</v>
      </c>
      <c r="H15" s="9">
        <v>5</v>
      </c>
      <c r="I15" s="9">
        <f t="shared" si="3"/>
        <v>1</v>
      </c>
      <c r="J15" s="9">
        <f>SUM(INDEX(I$10:I$15,1):I15)</f>
        <v>25</v>
      </c>
      <c r="K15" s="9">
        <f t="shared" si="4"/>
        <v>0.04</v>
      </c>
      <c r="L15" s="9">
        <f t="shared" si="5"/>
        <v>4</v>
      </c>
    </row>
    <row r="16" spans="1:13" ht="18" x14ac:dyDescent="0.25">
      <c r="A16" s="4" t="s">
        <v>4</v>
      </c>
      <c r="B16" s="5">
        <f>SUBTOTAL(9,B10:B15)</f>
        <v>30</v>
      </c>
      <c r="C16" s="5"/>
      <c r="D16" s="5">
        <f t="shared" ref="D16:E16" si="6">SUBTOTAL(9,D10:D15)</f>
        <v>0.99999999999999989</v>
      </c>
      <c r="E16" s="5">
        <f t="shared" si="6"/>
        <v>99.999999999999986</v>
      </c>
      <c r="H16" s="10" t="s">
        <v>4</v>
      </c>
      <c r="I16" s="11">
        <f>SUBTOTAL(9,I10:I15)</f>
        <v>25</v>
      </c>
      <c r="J16" s="11"/>
      <c r="K16" s="11">
        <f t="shared" ref="K16" si="7">SUBTOTAL(9,K10:K15)</f>
        <v>1</v>
      </c>
      <c r="L16" s="11">
        <f t="shared" ref="L16" si="8">SUBTOTAL(9,L10:L15)</f>
        <v>100</v>
      </c>
    </row>
    <row r="19" spans="1:2" x14ac:dyDescent="0.25">
      <c r="A19" s="3" t="s">
        <v>2</v>
      </c>
      <c r="B19" t="s">
        <v>3</v>
      </c>
    </row>
    <row r="20" spans="1:2" x14ac:dyDescent="0.25">
      <c r="B20" t="s">
        <v>5</v>
      </c>
    </row>
    <row r="22" spans="1:2" x14ac:dyDescent="0.25">
      <c r="A22" s="3" t="s">
        <v>6</v>
      </c>
      <c r="B22" t="s">
        <v>7</v>
      </c>
    </row>
    <row r="23" spans="1:2" x14ac:dyDescent="0.25">
      <c r="B23" t="s">
        <v>8</v>
      </c>
    </row>
    <row r="25" spans="1:2" x14ac:dyDescent="0.25">
      <c r="A25" s="3" t="s">
        <v>10</v>
      </c>
      <c r="B25" t="s">
        <v>9</v>
      </c>
    </row>
    <row r="26" spans="1:2" x14ac:dyDescent="0.25">
      <c r="B26" t="s">
        <v>11</v>
      </c>
    </row>
    <row r="28" spans="1:2" x14ac:dyDescent="0.25">
      <c r="A28" s="3" t="s">
        <v>12</v>
      </c>
      <c r="B28" t="s">
        <v>15</v>
      </c>
    </row>
    <row r="29" spans="1:2" x14ac:dyDescent="0.25">
      <c r="B29" t="s">
        <v>13</v>
      </c>
    </row>
  </sheetData>
  <mergeCells count="2">
    <mergeCell ref="A1:F1"/>
    <mergeCell ref="H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A26" sqref="A26"/>
    </sheetView>
  </sheetViews>
  <sheetFormatPr baseColWidth="10" defaultColWidth="9.140625" defaultRowHeight="15" x14ac:dyDescent="0.25"/>
  <cols>
    <col min="1" max="1" width="30.7109375" customWidth="1"/>
    <col min="2" max="4" width="10.7109375" customWidth="1"/>
  </cols>
  <sheetData>
    <row r="1" spans="1:9" ht="60" x14ac:dyDescent="0.25">
      <c r="A1" s="12" t="s">
        <v>16</v>
      </c>
      <c r="B1" s="12" t="s">
        <v>17</v>
      </c>
      <c r="C1" s="12" t="s">
        <v>24</v>
      </c>
      <c r="D1" s="12" t="s">
        <v>26</v>
      </c>
      <c r="E1" s="12" t="s">
        <v>27</v>
      </c>
      <c r="G1" t="s">
        <v>28</v>
      </c>
      <c r="H1" t="s">
        <v>14</v>
      </c>
      <c r="I1" t="s">
        <v>29</v>
      </c>
    </row>
    <row r="2" spans="1:9" x14ac:dyDescent="0.25">
      <c r="A2" t="s">
        <v>18</v>
      </c>
      <c r="B2">
        <v>12</v>
      </c>
      <c r="C2">
        <f>ROUND(TablaEjercicio[[#This Row],[Frecuencia]]/TablaEjercicio[[#Totals],[Frecuencia]]*100,0)</f>
        <v>29</v>
      </c>
      <c r="D2">
        <f>SUM(INDEX(TablaEjercicio[Frecuencia relativa porcentual],1):TablaEjercicio[[#This Row],[Frecuencia relativa porcentual]])</f>
        <v>29</v>
      </c>
      <c r="E2">
        <v>80</v>
      </c>
      <c r="H2">
        <v>3.5</v>
      </c>
      <c r="I2">
        <v>0</v>
      </c>
    </row>
    <row r="3" spans="1:9" x14ac:dyDescent="0.25">
      <c r="A3" t="s">
        <v>20</v>
      </c>
      <c r="B3">
        <v>9</v>
      </c>
      <c r="C3">
        <f>ROUND(TablaEjercicio[[#This Row],[Frecuencia]]/TablaEjercicio[[#Totals],[Frecuencia]]*100,0)</f>
        <v>22</v>
      </c>
      <c r="D3">
        <f>SUM(INDEX(TablaEjercicio[Frecuencia relativa porcentual],1):TablaEjercicio[[#This Row],[Frecuencia relativa porcentual]])</f>
        <v>51</v>
      </c>
      <c r="E3">
        <v>80</v>
      </c>
      <c r="H3">
        <v>3.5</v>
      </c>
      <c r="I3">
        <v>12</v>
      </c>
    </row>
    <row r="4" spans="1:9" x14ac:dyDescent="0.25">
      <c r="A4" t="s">
        <v>23</v>
      </c>
      <c r="B4">
        <v>8</v>
      </c>
      <c r="C4">
        <f>ROUND(TablaEjercicio[[#This Row],[Frecuencia]]/TablaEjercicio[[#Totals],[Frecuencia]]*100,0)</f>
        <v>20</v>
      </c>
      <c r="D4">
        <f>SUM(INDEX(TablaEjercicio[Frecuencia relativa porcentual],1):TablaEjercicio[[#This Row],[Frecuencia relativa porcentual]])</f>
        <v>71</v>
      </c>
      <c r="E4">
        <v>80</v>
      </c>
    </row>
    <row r="5" spans="1:9" x14ac:dyDescent="0.25">
      <c r="A5" t="s">
        <v>21</v>
      </c>
      <c r="B5">
        <v>7</v>
      </c>
      <c r="C5">
        <f>ROUND(TablaEjercicio[[#This Row],[Frecuencia]]/TablaEjercicio[[#Totals],[Frecuencia]]*100,0)</f>
        <v>17</v>
      </c>
      <c r="D5">
        <f>SUM(INDEX(TablaEjercicio[Frecuencia relativa porcentual],1):TablaEjercicio[[#This Row],[Frecuencia relativa porcentual]])</f>
        <v>88</v>
      </c>
      <c r="E5">
        <v>80</v>
      </c>
      <c r="G5" t="s">
        <v>30</v>
      </c>
      <c r="I5" s="13" t="s">
        <v>31</v>
      </c>
    </row>
    <row r="6" spans="1:9" x14ac:dyDescent="0.25">
      <c r="A6" t="s">
        <v>22</v>
      </c>
      <c r="B6">
        <v>3</v>
      </c>
      <c r="C6">
        <f>ROUND(TablaEjercicio[[#This Row],[Frecuencia]]/TablaEjercicio[[#Totals],[Frecuencia]]*100,0)</f>
        <v>7</v>
      </c>
      <c r="D6">
        <f>SUM(INDEX(TablaEjercicio[Frecuencia relativa porcentual],1):TablaEjercicio[[#This Row],[Frecuencia relativa porcentual]])</f>
        <v>95</v>
      </c>
      <c r="E6">
        <v>80</v>
      </c>
    </row>
    <row r="7" spans="1:9" x14ac:dyDescent="0.25">
      <c r="A7" t="s">
        <v>19</v>
      </c>
      <c r="B7">
        <v>2</v>
      </c>
      <c r="C7">
        <f>ROUND(TablaEjercicio[[#This Row],[Frecuencia]]/TablaEjercicio[[#Totals],[Frecuencia]]*100,0)</f>
        <v>5</v>
      </c>
      <c r="D7">
        <f>SUM(INDEX(TablaEjercicio[Frecuencia relativa porcentual],1):TablaEjercicio[[#This Row],[Frecuencia relativa porcentual]])</f>
        <v>100</v>
      </c>
      <c r="E7">
        <v>80</v>
      </c>
    </row>
    <row r="8" spans="1:9" x14ac:dyDescent="0.25">
      <c r="A8" t="s">
        <v>25</v>
      </c>
      <c r="B8">
        <f>SUBTOTAL(109,TablaEjercicio[Frecuencia])</f>
        <v>41</v>
      </c>
      <c r="C8">
        <f>SUBTOTAL(109,TablaEjercicio[Frecuencia relativa porcentual])</f>
        <v>100</v>
      </c>
    </row>
  </sheetData>
  <hyperlinks>
    <hyperlink ref="I5" r:id="rId1" xr:uid="{0CAFE110-6ABF-4530-B917-FC8054386449}"/>
  </hyperlinks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7094-A41B-4642-A08C-39AD5E851764}">
  <dimension ref="A1:T39"/>
  <sheetViews>
    <sheetView topLeftCell="M1" workbookViewId="0">
      <selection activeCell="N32" sqref="N32"/>
    </sheetView>
  </sheetViews>
  <sheetFormatPr baseColWidth="10" defaultRowHeight="15" x14ac:dyDescent="0.25"/>
  <cols>
    <col min="1" max="1" width="18.140625" style="17" bestFit="1" customWidth="1"/>
    <col min="2" max="2" width="15.42578125" style="17" bestFit="1" customWidth="1"/>
    <col min="3" max="11" width="4.28515625" style="17" customWidth="1"/>
    <col min="12" max="12" width="15.42578125" style="17" customWidth="1"/>
    <col min="13" max="13" width="11.5703125" style="17" bestFit="1" customWidth="1"/>
    <col min="14" max="16" width="3.85546875" style="17" bestFit="1" customWidth="1"/>
    <col min="17" max="18" width="5.140625" style="17" bestFit="1" customWidth="1"/>
    <col min="19" max="19" width="6.42578125" style="17" bestFit="1" customWidth="1"/>
    <col min="20" max="20" width="10.28515625" style="17" bestFit="1" customWidth="1"/>
    <col min="21" max="21" width="5.7109375" style="17" customWidth="1"/>
    <col min="22" max="16384" width="11.42578125" style="17"/>
  </cols>
  <sheetData>
    <row r="1" spans="1:20" x14ac:dyDescent="0.25">
      <c r="A1" s="16" t="s">
        <v>41</v>
      </c>
      <c r="M1" s="19" t="s">
        <v>40</v>
      </c>
      <c r="N1" s="19" t="s">
        <v>38</v>
      </c>
      <c r="O1" s="19" t="s">
        <v>39</v>
      </c>
      <c r="P1" s="19" t="s">
        <v>14</v>
      </c>
      <c r="Q1" s="19" t="s">
        <v>45</v>
      </c>
      <c r="R1" s="19" t="s">
        <v>44</v>
      </c>
      <c r="S1" s="19" t="s">
        <v>46</v>
      </c>
      <c r="T1" s="19" t="s">
        <v>37</v>
      </c>
    </row>
    <row r="2" spans="1:20" x14ac:dyDescent="0.25">
      <c r="B2" s="18">
        <v>20</v>
      </c>
      <c r="C2" s="18">
        <v>58</v>
      </c>
      <c r="D2" s="18">
        <v>22</v>
      </c>
      <c r="E2" s="18">
        <v>43</v>
      </c>
      <c r="F2" s="18">
        <v>17</v>
      </c>
      <c r="G2" s="18">
        <v>19</v>
      </c>
      <c r="H2" s="18">
        <v>16</v>
      </c>
      <c r="I2" s="18">
        <v>12</v>
      </c>
      <c r="J2" s="18">
        <v>23</v>
      </c>
      <c r="K2" s="18">
        <v>17</v>
      </c>
      <c r="M2" s="17" cm="1">
        <f t="array" ref="M2">ROW(1:1)</f>
        <v>1</v>
      </c>
      <c r="N2" s="17" cm="1">
        <f t="array" ref="N2">IF(Tabla3[[#This Row],[Intervalo]]=1,EdadesMinimo-(EdadesNuevoRango/2),INDEX(Tabla3[Ls],Tabla3[[#This Row],[Intervalo]]-1))</f>
        <v>3</v>
      </c>
      <c r="O2" s="17">
        <f>Tabla3[[#This Row],[Li]]+EdadesAmplitud</f>
        <v>13</v>
      </c>
      <c r="P2" s="17">
        <f>AVERAGE(Tabla3[[#This Row],[Li]],Tabla3[[#This Row],[Ls]])</f>
        <v>8</v>
      </c>
      <c r="Q2" s="17">
        <f>COUNTIFS(EdadesDatos,"&gt;="&amp;Tabla3[[#This Row],[Li]],EdadesDatos,"&lt;"&amp;Tabla3[[#This Row],[Ls]])</f>
        <v>5</v>
      </c>
      <c r="R2" s="17">
        <f>SUM(INDEX(Tabla3[Fab],1):Tabla3[[#This Row],[Fab]])</f>
        <v>5</v>
      </c>
      <c r="S2" s="17">
        <f>Tabla3[[#This Row],[Fab]]/COUNT(EdadesDatos)</f>
        <v>8.3333333333333329E-2</v>
      </c>
      <c r="T2" s="17">
        <f>Tabla3[[#This Row],[Fre]]*100</f>
        <v>8.3333333333333321</v>
      </c>
    </row>
    <row r="3" spans="1:20" x14ac:dyDescent="0.25">
      <c r="B3" s="18">
        <v>40</v>
      </c>
      <c r="C3" s="18">
        <v>16</v>
      </c>
      <c r="D3" s="18">
        <v>23</v>
      </c>
      <c r="E3" s="18">
        <v>14</v>
      </c>
      <c r="F3" s="18">
        <v>42</v>
      </c>
      <c r="G3" s="18">
        <v>34</v>
      </c>
      <c r="H3" s="18">
        <v>5</v>
      </c>
      <c r="I3" s="18">
        <v>63</v>
      </c>
      <c r="J3" s="18">
        <v>15</v>
      </c>
      <c r="K3" s="18">
        <v>28</v>
      </c>
      <c r="M3" s="17" cm="1">
        <f t="array" ref="M3">ROW(2:2)</f>
        <v>2</v>
      </c>
      <c r="N3" s="17" cm="1">
        <f t="array" ref="N3">IF(Tabla3[[#This Row],[Intervalo]]=1,EdadesMinimo-(EdadesNuevoRango/2),INDEX(Tabla3[Ls],Tabla3[[#This Row],[Intervalo]]-1))</f>
        <v>13</v>
      </c>
      <c r="O3" s="20">
        <f>Tabla3[[#This Row],[Li]]+EdadesAmplitud</f>
        <v>23</v>
      </c>
      <c r="P3" s="17">
        <f>AVERAGE(Tabla3[[#This Row],[Li]],Tabla3[[#This Row],[Ls]])</f>
        <v>18</v>
      </c>
      <c r="Q3" s="17">
        <f>COUNTIFS(EdadesDatos,"&gt;="&amp;Tabla3[[#This Row],[Li]],EdadesDatos,"&lt;"&amp;Tabla3[[#This Row],[Ls]])</f>
        <v>19</v>
      </c>
      <c r="R3" s="17">
        <f>SUM(INDEX(Tabla3[Fab],1):Tabla3[[#This Row],[Fab]])</f>
        <v>24</v>
      </c>
      <c r="S3" s="17">
        <f>Tabla3[[#This Row],[Fab]]/COUNT(EdadesDatos)</f>
        <v>0.31666666666666665</v>
      </c>
      <c r="T3" s="17">
        <f>Tabla3[[#This Row],[Fre]]*100</f>
        <v>31.666666666666664</v>
      </c>
    </row>
    <row r="4" spans="1:20" x14ac:dyDescent="0.25">
      <c r="B4" s="18">
        <v>27</v>
      </c>
      <c r="C4" s="18">
        <v>30</v>
      </c>
      <c r="D4" s="18">
        <v>18</v>
      </c>
      <c r="E4" s="18">
        <v>27</v>
      </c>
      <c r="F4" s="18">
        <v>13</v>
      </c>
      <c r="G4" s="18">
        <v>25</v>
      </c>
      <c r="H4" s="18">
        <v>7</v>
      </c>
      <c r="I4" s="18">
        <v>22</v>
      </c>
      <c r="J4" s="18">
        <v>71</v>
      </c>
      <c r="K4" s="18">
        <v>27</v>
      </c>
      <c r="M4" s="17" cm="1">
        <f t="array" ref="M4">ROW(3:3)</f>
        <v>3</v>
      </c>
      <c r="N4" s="17" cm="1">
        <f t="array" ref="N4">IF(Tabla3[[#This Row],[Intervalo]]=1,EdadesMinimo-(EdadesNuevoRango/2),INDEX(Tabla3[Ls],Tabla3[[#This Row],[Intervalo]]-1))</f>
        <v>23</v>
      </c>
      <c r="O4" s="20">
        <f>Tabla3[[#This Row],[Li]]+EdadesAmplitud</f>
        <v>33</v>
      </c>
      <c r="P4" s="17">
        <f>AVERAGE(Tabla3[[#This Row],[Li]],Tabla3[[#This Row],[Ls]])</f>
        <v>28</v>
      </c>
      <c r="Q4" s="17">
        <f>COUNTIFS(EdadesDatos,"&gt;="&amp;Tabla3[[#This Row],[Li]],EdadesDatos,"&lt;"&amp;Tabla3[[#This Row],[Ls]])</f>
        <v>16</v>
      </c>
      <c r="R4" s="17">
        <f>SUM(INDEX(Tabla3[Fab],1):Tabla3[[#This Row],[Fab]])</f>
        <v>40</v>
      </c>
      <c r="S4" s="17">
        <f>Tabla3[[#This Row],[Fab]]/COUNT(EdadesDatos)</f>
        <v>0.26666666666666666</v>
      </c>
      <c r="T4" s="17">
        <f>Tabla3[[#This Row],[Fre]]*100</f>
        <v>26.666666666666668</v>
      </c>
    </row>
    <row r="5" spans="1:20" x14ac:dyDescent="0.25">
      <c r="B5" s="18">
        <v>12</v>
      </c>
      <c r="C5" s="18">
        <v>15</v>
      </c>
      <c r="D5" s="18">
        <v>21</v>
      </c>
      <c r="E5" s="18">
        <v>39</v>
      </c>
      <c r="F5" s="18">
        <v>60</v>
      </c>
      <c r="G5" s="18">
        <v>22</v>
      </c>
      <c r="H5" s="18">
        <v>17</v>
      </c>
      <c r="I5" s="18">
        <v>45</v>
      </c>
      <c r="J5" s="18">
        <v>37</v>
      </c>
      <c r="K5" s="18">
        <v>34</v>
      </c>
      <c r="M5" s="17" cm="1">
        <f t="array" ref="M5">ROW(4:4)</f>
        <v>4</v>
      </c>
      <c r="N5" s="17" cm="1">
        <f t="array" ref="N5">IF(Tabla3[[#This Row],[Intervalo]]=1,EdadesMinimo-(EdadesNuevoRango/2),INDEX(Tabla3[Ls],Tabla3[[#This Row],[Intervalo]]-1))</f>
        <v>33</v>
      </c>
      <c r="O5" s="20">
        <f>Tabla3[[#This Row],[Li]]+EdadesAmplitud</f>
        <v>43</v>
      </c>
      <c r="P5" s="17">
        <f>AVERAGE(Tabla3[[#This Row],[Li]],Tabla3[[#This Row],[Ls]])</f>
        <v>38</v>
      </c>
      <c r="Q5" s="17">
        <f>COUNTIFS(EdadesDatos,"&gt;="&amp;Tabla3[[#This Row],[Li]],EdadesDatos,"&lt;"&amp;Tabla3[[#This Row],[Ls]])</f>
        <v>8</v>
      </c>
      <c r="R5" s="17">
        <f>SUM(INDEX(Tabla3[Fab],1):Tabla3[[#This Row],[Fab]])</f>
        <v>48</v>
      </c>
      <c r="S5" s="17">
        <f>Tabla3[[#This Row],[Fab]]/COUNT(EdadesDatos)</f>
        <v>0.13333333333333333</v>
      </c>
      <c r="T5" s="17">
        <f>Tabla3[[#This Row],[Fre]]*100</f>
        <v>13.333333333333334</v>
      </c>
    </row>
    <row r="6" spans="1:20" x14ac:dyDescent="0.25">
      <c r="B6" s="18">
        <v>53</v>
      </c>
      <c r="C6" s="18">
        <v>18</v>
      </c>
      <c r="D6" s="18">
        <v>28</v>
      </c>
      <c r="E6" s="18">
        <v>9</v>
      </c>
      <c r="F6" s="18">
        <v>30</v>
      </c>
      <c r="G6" s="18">
        <v>16</v>
      </c>
      <c r="H6" s="18">
        <v>39</v>
      </c>
      <c r="I6" s="18">
        <v>34</v>
      </c>
      <c r="J6" s="18">
        <v>17</v>
      </c>
      <c r="K6" s="18">
        <v>50</v>
      </c>
      <c r="M6" s="17" cm="1">
        <f t="array" ref="M6">ROW(5:5)</f>
        <v>5</v>
      </c>
      <c r="N6" s="17" cm="1">
        <f t="array" ref="N6">IF(Tabla3[[#This Row],[Intervalo]]=1,EdadesMinimo-(EdadesNuevoRango/2),INDEX(Tabla3[Ls],Tabla3[[#This Row],[Intervalo]]-1))</f>
        <v>43</v>
      </c>
      <c r="O6" s="20">
        <f>Tabla3[[#This Row],[Li]]+EdadesAmplitud</f>
        <v>53</v>
      </c>
      <c r="P6" s="17">
        <f>AVERAGE(Tabla3[[#This Row],[Li]],Tabla3[[#This Row],[Ls]])</f>
        <v>48</v>
      </c>
      <c r="Q6" s="17">
        <f>COUNTIFS(EdadesDatos,"&gt;="&amp;Tabla3[[#This Row],[Li]],EdadesDatos,"&lt;"&amp;Tabla3[[#This Row],[Ls]])</f>
        <v>6</v>
      </c>
      <c r="R6" s="17">
        <f>SUM(INDEX(Tabla3[Fab],1):Tabla3[[#This Row],[Fab]])</f>
        <v>54</v>
      </c>
      <c r="S6" s="17">
        <f>Tabla3[[#This Row],[Fab]]/COUNT(EdadesDatos)</f>
        <v>0.1</v>
      </c>
      <c r="T6" s="17">
        <f>Tabla3[[#This Row],[Fre]]*100</f>
        <v>10</v>
      </c>
    </row>
    <row r="7" spans="1:20" x14ac:dyDescent="0.25">
      <c r="B7" s="18">
        <v>23</v>
      </c>
      <c r="C7" s="18">
        <v>45</v>
      </c>
      <c r="D7" s="18">
        <v>25</v>
      </c>
      <c r="E7" s="18">
        <v>44</v>
      </c>
      <c r="F7" s="18">
        <v>29</v>
      </c>
      <c r="G7" s="18">
        <v>61</v>
      </c>
      <c r="H7" s="18">
        <v>28</v>
      </c>
      <c r="I7" s="18">
        <v>24</v>
      </c>
      <c r="J7" s="18">
        <v>49</v>
      </c>
      <c r="K7" s="18">
        <v>24</v>
      </c>
      <c r="M7" s="17" cm="1">
        <f t="array" ref="M7">ROW(6:6)</f>
        <v>6</v>
      </c>
      <c r="N7" s="17" cm="1">
        <f t="array" ref="N7">IF(Tabla3[[#This Row],[Intervalo]]=1,EdadesMinimo-(EdadesNuevoRango/2),INDEX(Tabla3[Ls],Tabla3[[#This Row],[Intervalo]]-1))</f>
        <v>53</v>
      </c>
      <c r="O7" s="20">
        <f>Tabla3[[#This Row],[Li]]+EdadesAmplitud</f>
        <v>63</v>
      </c>
      <c r="P7" s="17">
        <f>AVERAGE(Tabla3[[#This Row],[Li]],Tabla3[[#This Row],[Ls]])</f>
        <v>58</v>
      </c>
      <c r="Q7" s="17">
        <f>COUNTIFS(EdadesDatos,"&gt;="&amp;Tabla3[[#This Row],[Li]],EdadesDatos,"&lt;"&amp;Tabla3[[#This Row],[Ls]])</f>
        <v>4</v>
      </c>
      <c r="R7" s="17">
        <f>SUM(INDEX(Tabla3[Fab],1):Tabla3[[#This Row],[Fab]])</f>
        <v>58</v>
      </c>
      <c r="S7" s="17">
        <f>Tabla3[[#This Row],[Fab]]/COUNT(EdadesDatos)</f>
        <v>6.6666666666666666E-2</v>
      </c>
      <c r="T7" s="17">
        <f>Tabla3[[#This Row],[Fre]]*100</f>
        <v>6.666666666666667</v>
      </c>
    </row>
    <row r="8" spans="1:20" x14ac:dyDescent="0.25">
      <c r="M8" s="17" cm="1">
        <f t="array" ref="M8">ROW(7:7)</f>
        <v>7</v>
      </c>
      <c r="N8" s="17" cm="1">
        <f t="array" ref="N8">IF(Tabla3[[#This Row],[Intervalo]]=1,EdadesMinimo-(EdadesNuevoRango/2),INDEX(Tabla3[Ls],Tabla3[[#This Row],[Intervalo]]-1))</f>
        <v>63</v>
      </c>
      <c r="O8" s="20">
        <f>Tabla3[[#This Row],[Li]]+EdadesAmplitud</f>
        <v>73</v>
      </c>
      <c r="P8" s="17">
        <f>AVERAGE(Tabla3[[#This Row],[Li]],Tabla3[[#This Row],[Ls]])</f>
        <v>68</v>
      </c>
      <c r="Q8" s="17">
        <f>COUNTIFS(EdadesDatos,"&gt;="&amp;Tabla3[[#This Row],[Li]],EdadesDatos,"&lt;"&amp;Tabla3[[#This Row],[Ls]])</f>
        <v>2</v>
      </c>
      <c r="R8" s="17">
        <f>SUM(INDEX(Tabla3[Fab],1):Tabla3[[#This Row],[Fab]])</f>
        <v>60</v>
      </c>
      <c r="S8" s="17">
        <f>Tabla3[[#This Row],[Fab]]/COUNT(EdadesDatos)</f>
        <v>3.3333333333333333E-2</v>
      </c>
      <c r="T8" s="17">
        <f>Tabla3[[#This Row],[Fre]]*100</f>
        <v>3.3333333333333335</v>
      </c>
    </row>
    <row r="9" spans="1:20" x14ac:dyDescent="0.25">
      <c r="A9" s="17" t="s">
        <v>47</v>
      </c>
      <c r="D9" s="16">
        <f>SMALL(EdadesDatos,1)</f>
        <v>5</v>
      </c>
      <c r="M9" s="17" t="s">
        <v>25</v>
      </c>
      <c r="Q9" s="17">
        <f>SUBTOTAL(109,Tabla3[Fab])</f>
        <v>60</v>
      </c>
      <c r="S9" s="17">
        <f>SUBTOTAL(109,Tabla3[Fre])</f>
        <v>0.99999999999999989</v>
      </c>
      <c r="T9" s="17">
        <f>SUBTOTAL(109,Tabla3[Porcentaje])</f>
        <v>100</v>
      </c>
    </row>
    <row r="10" spans="1:20" x14ac:dyDescent="0.25">
      <c r="A10" s="17" t="s">
        <v>48</v>
      </c>
      <c r="D10" s="16">
        <f>LARGE(EdadesDatos,1)</f>
        <v>71</v>
      </c>
    </row>
    <row r="11" spans="1:20" x14ac:dyDescent="0.25">
      <c r="A11" s="17" t="s">
        <v>53</v>
      </c>
      <c r="D11" s="16">
        <f>D10-D9</f>
        <v>66</v>
      </c>
      <c r="M11" s="21" t="s">
        <v>40</v>
      </c>
      <c r="N11" s="17" t="s">
        <v>40</v>
      </c>
    </row>
    <row r="12" spans="1:20" x14ac:dyDescent="0.25">
      <c r="A12" s="17" t="s">
        <v>49</v>
      </c>
      <c r="B12" s="17">
        <f>1+3.322*LOG10(COUNT(EdadesDatos))</f>
        <v>6.9070184537744641</v>
      </c>
      <c r="C12" s="14" t="s">
        <v>32</v>
      </c>
      <c r="D12" s="16">
        <f>IF(ISODD(ROUND(B12,0)),ROUND(B12,0),ROUNDUP(B12,0))</f>
        <v>7</v>
      </c>
      <c r="E12" s="14" t="s">
        <v>51</v>
      </c>
      <c r="F12" s="17" t="s">
        <v>52</v>
      </c>
      <c r="M12" s="21" t="s">
        <v>38</v>
      </c>
      <c r="N12" s="17" t="s">
        <v>42</v>
      </c>
      <c r="S12" s="14" t="s">
        <v>51</v>
      </c>
      <c r="T12" s="17" t="s">
        <v>54</v>
      </c>
    </row>
    <row r="13" spans="1:20" x14ac:dyDescent="0.25">
      <c r="A13" s="17" t="s">
        <v>50</v>
      </c>
      <c r="B13" s="17">
        <f>D11/EdadesIntervalo</f>
        <v>9.4285714285714288</v>
      </c>
      <c r="C13" s="14" t="s">
        <v>32</v>
      </c>
      <c r="D13" s="16">
        <f>ROUNDUP(B13,0)</f>
        <v>10</v>
      </c>
      <c r="M13" s="21" t="s">
        <v>39</v>
      </c>
      <c r="N13" s="17" t="s">
        <v>43</v>
      </c>
    </row>
    <row r="14" spans="1:20" x14ac:dyDescent="0.25">
      <c r="M14" s="21" t="s">
        <v>14</v>
      </c>
      <c r="N14" s="17" t="s">
        <v>33</v>
      </c>
    </row>
    <row r="15" spans="1:20" x14ac:dyDescent="0.25">
      <c r="A15" s="17" t="s">
        <v>54</v>
      </c>
      <c r="D15" s="16">
        <f>EdadesAmplitud*EdadesIntervalo-EdadesRango</f>
        <v>4</v>
      </c>
      <c r="M15" s="21" t="s">
        <v>45</v>
      </c>
      <c r="N15" s="17" t="s">
        <v>34</v>
      </c>
    </row>
    <row r="16" spans="1:20" x14ac:dyDescent="0.25">
      <c r="M16" s="21" t="s">
        <v>44</v>
      </c>
      <c r="N16" s="17" t="s">
        <v>35</v>
      </c>
    </row>
    <row r="17" spans="1:20" x14ac:dyDescent="0.25">
      <c r="M17" s="21" t="s">
        <v>46</v>
      </c>
      <c r="N17" s="17" t="s">
        <v>36</v>
      </c>
    </row>
    <row r="18" spans="1:20" x14ac:dyDescent="0.25">
      <c r="C18" s="14"/>
      <c r="M18" s="21" t="s">
        <v>37</v>
      </c>
      <c r="N18" s="17" t="s">
        <v>37</v>
      </c>
    </row>
    <row r="19" spans="1:20" x14ac:dyDescent="0.25">
      <c r="C19" s="14"/>
    </row>
    <row r="20" spans="1:20" x14ac:dyDescent="0.2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2" spans="1:20" x14ac:dyDescent="0.25">
      <c r="A22" s="16" t="s">
        <v>55</v>
      </c>
      <c r="M22" s="19" t="s">
        <v>56</v>
      </c>
      <c r="N22" s="19" t="s">
        <v>38</v>
      </c>
      <c r="O22" s="19" t="s">
        <v>39</v>
      </c>
      <c r="P22" s="19" t="s">
        <v>14</v>
      </c>
      <c r="Q22" s="19" t="s">
        <v>45</v>
      </c>
      <c r="R22" s="19" t="s">
        <v>44</v>
      </c>
      <c r="S22" s="19" t="s">
        <v>46</v>
      </c>
      <c r="T22" s="19" t="s">
        <v>57</v>
      </c>
    </row>
    <row r="23" spans="1:20" x14ac:dyDescent="0.25">
      <c r="B23" s="18">
        <v>3</v>
      </c>
      <c r="C23" s="18">
        <v>2</v>
      </c>
      <c r="D23" s="18">
        <v>4</v>
      </c>
      <c r="E23" s="18">
        <v>3</v>
      </c>
      <c r="F23" s="18">
        <v>1</v>
      </c>
      <c r="G23" s="18">
        <v>2</v>
      </c>
      <c r="H23" s="18">
        <v>0</v>
      </c>
      <c r="I23" s="18">
        <v>1</v>
      </c>
      <c r="J23" s="18">
        <v>2</v>
      </c>
      <c r="K23" s="18">
        <v>3</v>
      </c>
      <c r="M23" s="17" cm="1">
        <f t="array" ref="M23">ROW(1:1)</f>
        <v>1</v>
      </c>
      <c r="N23" s="17" cm="1">
        <f t="array" ref="N23">IF(HorasTabla[[#This Row],[Interval]]=1,HorasMinimo,INDEX(HorasTabla[Ls],HorasTabla[[#This Row],[Interval]]-1))</f>
        <v>0</v>
      </c>
      <c r="O23" s="17">
        <f>HorasTabla[[#This Row],[Li]]+HorasAmplitud</f>
        <v>4</v>
      </c>
      <c r="P23" s="17">
        <f>AVERAGE(HorasTabla[[#This Row],[Li]],HorasTabla[[#This Row],[Ls]])</f>
        <v>2</v>
      </c>
      <c r="Q23" s="17">
        <f>COUNTIFS(HorasDatos,"&gt;="&amp;HorasTabla[[#This Row],[Li]],HorasDatos,"&lt;"&amp;HorasTabla[[#This Row],[Ls]])</f>
        <v>21</v>
      </c>
      <c r="R23" s="17">
        <f>SUM(INDEX(HorasTabla[Fab],1):HorasTabla[[#This Row],[Fab]])</f>
        <v>21</v>
      </c>
      <c r="S23" s="17">
        <f>HorasTabla[[#This Row],[Fab]]/COUNT(HorasDatos)</f>
        <v>0.42</v>
      </c>
      <c r="T23" s="17">
        <f>HorasTabla[[#This Row],[Fre]]*100</f>
        <v>42</v>
      </c>
    </row>
    <row r="24" spans="1:20" x14ac:dyDescent="0.25">
      <c r="B24" s="18">
        <v>1</v>
      </c>
      <c r="C24" s="18">
        <v>6</v>
      </c>
      <c r="D24" s="18">
        <v>8</v>
      </c>
      <c r="E24" s="18">
        <v>5</v>
      </c>
      <c r="F24" s="18">
        <v>15</v>
      </c>
      <c r="G24" s="18">
        <v>6</v>
      </c>
      <c r="H24" s="18">
        <v>4</v>
      </c>
      <c r="I24" s="18">
        <v>6</v>
      </c>
      <c r="J24" s="18">
        <v>10</v>
      </c>
      <c r="K24" s="18">
        <v>6</v>
      </c>
      <c r="M24" s="17" cm="1">
        <f t="array" ref="M24">ROW(2:2)</f>
        <v>2</v>
      </c>
      <c r="N24" s="17" cm="1">
        <f t="array" ref="N24">IF(HorasTabla[[#This Row],[Interval]]=1,HorasMinimo,INDEX(HorasTabla[Ls],HorasTabla[[#This Row],[Interval]]-1))</f>
        <v>4</v>
      </c>
      <c r="O24" s="20">
        <f>HorasTabla[[#This Row],[Li]]+HorasAmplitud</f>
        <v>8</v>
      </c>
      <c r="P24" s="17">
        <f>AVERAGE(HorasTabla[[#This Row],[Li]],HorasTabla[[#This Row],[Ls]])</f>
        <v>6</v>
      </c>
      <c r="Q24" s="17">
        <f>COUNTIFS(HorasDatos,"&gt;="&amp;HorasTabla[[#This Row],[Li]],HorasDatos,"&lt;"&amp;HorasTabla[[#This Row],[Ls]])</f>
        <v>17</v>
      </c>
      <c r="R24" s="17">
        <f>SUM(INDEX(HorasTabla[Fab],1):HorasTabla[[#This Row],[Fab]])</f>
        <v>38</v>
      </c>
      <c r="S24" s="17">
        <f>HorasTabla[[#This Row],[Fab]]/COUNT(HorasDatos)</f>
        <v>0.34</v>
      </c>
      <c r="T24" s="17">
        <f>HorasTabla[[#This Row],[Fre]]*100</f>
        <v>34</v>
      </c>
    </row>
    <row r="25" spans="1:20" x14ac:dyDescent="0.25">
      <c r="B25" s="18">
        <v>5</v>
      </c>
      <c r="C25" s="18">
        <v>10</v>
      </c>
      <c r="D25" s="18">
        <v>2</v>
      </c>
      <c r="E25" s="18">
        <v>0</v>
      </c>
      <c r="F25" s="18">
        <v>4</v>
      </c>
      <c r="G25" s="18">
        <v>5</v>
      </c>
      <c r="H25" s="18">
        <v>15</v>
      </c>
      <c r="I25" s="18">
        <v>5</v>
      </c>
      <c r="J25" s="18">
        <v>15</v>
      </c>
      <c r="K25" s="18">
        <v>1</v>
      </c>
      <c r="M25" s="17" cm="1">
        <f t="array" ref="M25">ROW(3:3)</f>
        <v>3</v>
      </c>
      <c r="N25" s="17" cm="1">
        <f t="array" ref="N25">IF(HorasTabla[[#This Row],[Interval]]=1,HorasMinimo,INDEX(HorasTabla[Ls],HorasTabla[[#This Row],[Interval]]-1))</f>
        <v>8</v>
      </c>
      <c r="O25" s="20">
        <f>HorasTabla[[#This Row],[Li]]+HorasAmplitud</f>
        <v>12</v>
      </c>
      <c r="P25" s="17">
        <f>AVERAGE(HorasTabla[[#This Row],[Li]],HorasTabla[[#This Row],[Ls]])</f>
        <v>10</v>
      </c>
      <c r="Q25" s="17">
        <f>COUNTIFS(HorasDatos,"&gt;="&amp;HorasTabla[[#This Row],[Li]],HorasDatos,"&lt;"&amp;HorasTabla[[#This Row],[Ls]])</f>
        <v>5</v>
      </c>
      <c r="R25" s="17">
        <f>SUM(INDEX(HorasTabla[Fab],1):HorasTabla[[#This Row],[Fab]])</f>
        <v>43</v>
      </c>
      <c r="S25" s="17">
        <f>HorasTabla[[#This Row],[Fab]]/COUNT(HorasDatos)</f>
        <v>0.1</v>
      </c>
      <c r="T25" s="17">
        <f>HorasTabla[[#This Row],[Fre]]*100</f>
        <v>10</v>
      </c>
    </row>
    <row r="26" spans="1:20" x14ac:dyDescent="0.25">
      <c r="B26" s="18">
        <v>7</v>
      </c>
      <c r="C26" s="18">
        <v>3</v>
      </c>
      <c r="D26" s="18">
        <v>20</v>
      </c>
      <c r="E26" s="18">
        <v>6</v>
      </c>
      <c r="F26" s="18">
        <v>2</v>
      </c>
      <c r="G26" s="18">
        <v>22</v>
      </c>
      <c r="H26" s="18">
        <v>3</v>
      </c>
      <c r="I26" s="18">
        <v>25</v>
      </c>
      <c r="J26" s="18">
        <v>0</v>
      </c>
      <c r="K26" s="18">
        <v>2</v>
      </c>
      <c r="M26" s="17" cm="1">
        <f t="array" ref="M26">ROW(4:4)</f>
        <v>4</v>
      </c>
      <c r="N26" s="17" cm="1">
        <f t="array" ref="N26">IF(HorasTabla[[#This Row],[Interval]]=1,HorasMinimo,INDEX(HorasTabla[Ls],HorasTabla[[#This Row],[Interval]]-1))</f>
        <v>12</v>
      </c>
      <c r="O26" s="20">
        <f>HorasTabla[[#This Row],[Li]]+HorasAmplitud</f>
        <v>16</v>
      </c>
      <c r="P26" s="17">
        <f>AVERAGE(HorasTabla[[#This Row],[Li]],HorasTabla[[#This Row],[Ls]])</f>
        <v>14</v>
      </c>
      <c r="Q26" s="17">
        <f>COUNTIFS(HorasDatos,"&gt;="&amp;HorasTabla[[#This Row],[Li]],HorasDatos,"&lt;"&amp;HorasTabla[[#This Row],[Ls]])</f>
        <v>3</v>
      </c>
      <c r="R26" s="17">
        <f>SUM(INDEX(HorasTabla[Fab],1):HorasTabla[[#This Row],[Fab]])</f>
        <v>46</v>
      </c>
      <c r="S26" s="17">
        <f>HorasTabla[[#This Row],[Fab]]/COUNT(HorasDatos)</f>
        <v>0.06</v>
      </c>
      <c r="T26" s="17">
        <f>HorasTabla[[#This Row],[Fre]]*100</f>
        <v>6</v>
      </c>
    </row>
    <row r="27" spans="1:20" x14ac:dyDescent="0.25">
      <c r="B27" s="18">
        <v>4</v>
      </c>
      <c r="C27" s="18">
        <v>0</v>
      </c>
      <c r="D27" s="18">
        <v>17</v>
      </c>
      <c r="E27" s="18">
        <v>1</v>
      </c>
      <c r="F27" s="18">
        <v>10</v>
      </c>
      <c r="G27" s="18">
        <v>5</v>
      </c>
      <c r="H27" s="18">
        <v>6</v>
      </c>
      <c r="I27" s="18">
        <v>10</v>
      </c>
      <c r="J27" s="18">
        <v>3</v>
      </c>
      <c r="K27" s="18">
        <v>6</v>
      </c>
      <c r="M27" s="17" cm="1">
        <f t="array" ref="M27">ROW(5:5)</f>
        <v>5</v>
      </c>
      <c r="N27" s="17" cm="1">
        <f t="array" ref="N27">IF(HorasTabla[[#This Row],[Interval]]=1,HorasMinimo,INDEX(HorasTabla[Ls],HorasTabla[[#This Row],[Interval]]-1))</f>
        <v>16</v>
      </c>
      <c r="O27" s="20">
        <f>HorasTabla[[#This Row],[Li]]+HorasAmplitud</f>
        <v>20</v>
      </c>
      <c r="P27" s="17">
        <f>AVERAGE(HorasTabla[[#This Row],[Li]],HorasTabla[[#This Row],[Ls]])</f>
        <v>18</v>
      </c>
      <c r="Q27" s="17">
        <f>COUNTIFS(HorasDatos,"&gt;="&amp;HorasTabla[[#This Row],[Li]],HorasDatos,"&lt;"&amp;HorasTabla[[#This Row],[Ls]])</f>
        <v>1</v>
      </c>
      <c r="R27" s="17">
        <f>SUM(INDEX(HorasTabla[Fab],1):HorasTabla[[#This Row],[Fab]])</f>
        <v>47</v>
      </c>
      <c r="S27" s="17">
        <f>HorasTabla[[#This Row],[Fab]]/COUNT(HorasDatos)</f>
        <v>0.02</v>
      </c>
      <c r="T27" s="17">
        <f>HorasTabla[[#This Row],[Fre]]*100</f>
        <v>2</v>
      </c>
    </row>
    <row r="28" spans="1:20" x14ac:dyDescent="0.25">
      <c r="M28" s="17" cm="1">
        <f t="array" ref="M28">ROW(6:6)</f>
        <v>6</v>
      </c>
      <c r="N28" s="17" cm="1">
        <f t="array" ref="N28">IF(HorasTabla[[#This Row],[Interval]]=1,HorasMinimo,INDEX(HorasTabla[Ls],HorasTabla[[#This Row],[Interval]]-1))</f>
        <v>20</v>
      </c>
      <c r="O28" s="20">
        <f>HorasTabla[[#This Row],[Li]]+HorasAmplitud</f>
        <v>24</v>
      </c>
      <c r="P28" s="17">
        <f>AVERAGE(HorasTabla[[#This Row],[Li]],HorasTabla[[#This Row],[Ls]])</f>
        <v>22</v>
      </c>
      <c r="Q28" s="17">
        <f>COUNTIFS(HorasDatos,"&gt;="&amp;HorasTabla[[#This Row],[Li]],HorasDatos,"&lt;"&amp;HorasTabla[[#This Row],[Ls]])</f>
        <v>2</v>
      </c>
      <c r="R28" s="17">
        <f>SUM(INDEX(HorasTabla[Fab],1):HorasTabla[[#This Row],[Fab]])</f>
        <v>49</v>
      </c>
      <c r="S28" s="17">
        <f>HorasTabla[[#This Row],[Fab]]/COUNT(HorasDatos)</f>
        <v>0.04</v>
      </c>
      <c r="T28" s="17">
        <f>HorasTabla[[#This Row],[Fre]]*100</f>
        <v>4</v>
      </c>
    </row>
    <row r="29" spans="1:20" x14ac:dyDescent="0.25">
      <c r="A29" s="17" t="s">
        <v>47</v>
      </c>
      <c r="D29" s="16">
        <f>SMALL(HorasDatos,1)</f>
        <v>0</v>
      </c>
      <c r="M29" s="17" cm="1">
        <f t="array" ref="M29">ROW(7:7)</f>
        <v>7</v>
      </c>
      <c r="N29" s="17" cm="1">
        <f t="array" ref="N29">IF(HorasTabla[[#This Row],[Interval]]=1,HorasMinimo,INDEX(HorasTabla[Ls],HorasTabla[[#This Row],[Interval]]-1))</f>
        <v>24</v>
      </c>
      <c r="O29" s="20">
        <f>HorasTabla[[#This Row],[Li]]+HorasAmplitud</f>
        <v>28</v>
      </c>
      <c r="P29" s="17">
        <f>AVERAGE(HorasTabla[[#This Row],[Li]],HorasTabla[[#This Row],[Ls]])</f>
        <v>26</v>
      </c>
      <c r="Q29" s="17">
        <f>COUNTIFS(HorasDatos,"&gt;="&amp;HorasTabla[[#This Row],[Li]],HorasDatos,"&lt;"&amp;HorasTabla[[#This Row],[Ls]])</f>
        <v>1</v>
      </c>
      <c r="R29" s="17">
        <f>SUM(INDEX(HorasTabla[Fab],1):HorasTabla[[#This Row],[Fab]])</f>
        <v>50</v>
      </c>
      <c r="S29" s="17">
        <f>HorasTabla[[#This Row],[Fab]]/COUNT(HorasDatos)</f>
        <v>0.02</v>
      </c>
      <c r="T29" s="17">
        <f>HorasTabla[[#This Row],[Fre]]*100</f>
        <v>2</v>
      </c>
    </row>
    <row r="30" spans="1:20" x14ac:dyDescent="0.25">
      <c r="A30" s="17" t="s">
        <v>48</v>
      </c>
      <c r="D30" s="16">
        <f>LARGE(HorasDatos,1)</f>
        <v>25</v>
      </c>
      <c r="M30" s="17" t="s">
        <v>25</v>
      </c>
      <c r="Q30" s="17">
        <f>SUBTOTAL(109,HorasTabla[Fab])</f>
        <v>50</v>
      </c>
      <c r="S30" s="17">
        <f>SUBTOTAL(109,HorasTabla[Fre])</f>
        <v>1</v>
      </c>
      <c r="T30" s="17">
        <f>SUBTOTAL(109,HorasTabla[Porcent])</f>
        <v>100</v>
      </c>
    </row>
    <row r="31" spans="1:20" x14ac:dyDescent="0.25">
      <c r="A31" s="17" t="s">
        <v>53</v>
      </c>
      <c r="D31" s="16">
        <f>HorasMaximo-HorasMinimo</f>
        <v>25</v>
      </c>
    </row>
    <row r="32" spans="1:20" x14ac:dyDescent="0.25">
      <c r="A32" s="17" t="s">
        <v>49</v>
      </c>
      <c r="B32" s="17">
        <f>1+3.322*LOG10(COUNT(HorasDatos))</f>
        <v>6.6439783544042541</v>
      </c>
      <c r="C32" s="14" t="s">
        <v>32</v>
      </c>
      <c r="D32" s="16">
        <f>IF(ISODD(ROUND(B32,0)),ROUND(B32,0),ROUNDUP(B32,0))</f>
        <v>7</v>
      </c>
      <c r="E32" s="14" t="s">
        <v>51</v>
      </c>
      <c r="F32" s="17" t="s">
        <v>52</v>
      </c>
      <c r="M32" s="21" t="s">
        <v>56</v>
      </c>
      <c r="N32" s="17" t="s">
        <v>40</v>
      </c>
    </row>
    <row r="33" spans="1:20" x14ac:dyDescent="0.25">
      <c r="A33" s="17" t="s">
        <v>50</v>
      </c>
      <c r="B33" s="17">
        <f>D31/HorasIntervalo</f>
        <v>3.5714285714285716</v>
      </c>
      <c r="C33" s="14" t="s">
        <v>32</v>
      </c>
      <c r="D33" s="16">
        <f>ROUNDUP(B33,0)</f>
        <v>4</v>
      </c>
      <c r="M33" s="21" t="s">
        <v>38</v>
      </c>
      <c r="N33" s="17" t="s">
        <v>42</v>
      </c>
      <c r="S33" s="14" t="s">
        <v>51</v>
      </c>
      <c r="T33" s="17" t="s">
        <v>54</v>
      </c>
    </row>
    <row r="34" spans="1:20" x14ac:dyDescent="0.25">
      <c r="M34" s="21" t="s">
        <v>39</v>
      </c>
      <c r="N34" s="17" t="s">
        <v>43</v>
      </c>
    </row>
    <row r="35" spans="1:20" x14ac:dyDescent="0.25">
      <c r="A35" s="17" t="s">
        <v>54</v>
      </c>
      <c r="D35" s="16">
        <f>HorasAmplitud*HorasIntervalo-HorasRango</f>
        <v>3</v>
      </c>
      <c r="M35" s="21" t="s">
        <v>14</v>
      </c>
      <c r="N35" s="17" t="s">
        <v>33</v>
      </c>
    </row>
    <row r="36" spans="1:20" x14ac:dyDescent="0.25">
      <c r="M36" s="21" t="s">
        <v>45</v>
      </c>
      <c r="N36" s="17" t="s">
        <v>34</v>
      </c>
    </row>
    <row r="37" spans="1:20" x14ac:dyDescent="0.25">
      <c r="M37" s="21" t="s">
        <v>44</v>
      </c>
      <c r="N37" s="17" t="s">
        <v>35</v>
      </c>
    </row>
    <row r="38" spans="1:20" x14ac:dyDescent="0.25">
      <c r="C38" s="14"/>
      <c r="M38" s="21" t="s">
        <v>46</v>
      </c>
      <c r="N38" s="17" t="s">
        <v>36</v>
      </c>
    </row>
    <row r="39" spans="1:20" x14ac:dyDescent="0.25">
      <c r="M39" s="21" t="s">
        <v>57</v>
      </c>
      <c r="N39" s="17" t="s">
        <v>37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4EB3-1E88-40A3-AA36-3AE208FD2E28}">
  <dimension ref="A1:K8"/>
  <sheetViews>
    <sheetView topLeftCell="F1" workbookViewId="0">
      <selection activeCell="M7" sqref="M7"/>
    </sheetView>
  </sheetViews>
  <sheetFormatPr baseColWidth="10" defaultRowHeight="15" x14ac:dyDescent="0.25"/>
  <sheetData>
    <row r="1" spans="1:11" x14ac:dyDescent="0.25">
      <c r="A1" t="s">
        <v>58</v>
      </c>
      <c r="B1" t="s">
        <v>59</v>
      </c>
      <c r="C1" t="s">
        <v>44</v>
      </c>
      <c r="D1" t="s">
        <v>60</v>
      </c>
      <c r="E1" t="s">
        <v>12</v>
      </c>
      <c r="G1" t="s">
        <v>61</v>
      </c>
      <c r="H1" t="s">
        <v>59</v>
      </c>
      <c r="I1" t="s">
        <v>44</v>
      </c>
      <c r="J1" t="s">
        <v>60</v>
      </c>
      <c r="K1" t="s">
        <v>12</v>
      </c>
    </row>
    <row r="2" spans="1:11" x14ac:dyDescent="0.25">
      <c r="A2">
        <v>13</v>
      </c>
      <c r="B2">
        <v>6</v>
      </c>
      <c r="C2">
        <v>6</v>
      </c>
      <c r="D2">
        <v>0.2</v>
      </c>
      <c r="E2">
        <f>EdadesTabla[[#This Row],[fre]]*100</f>
        <v>20</v>
      </c>
      <c r="G2">
        <v>0</v>
      </c>
      <c r="H2">
        <v>6</v>
      </c>
      <c r="I2">
        <v>6</v>
      </c>
      <c r="J2">
        <v>0.24</v>
      </c>
      <c r="K2">
        <f>EdadesTabla7[[#This Row],[fre]]*100</f>
        <v>24</v>
      </c>
    </row>
    <row r="3" spans="1:11" x14ac:dyDescent="0.25">
      <c r="A3">
        <v>14</v>
      </c>
      <c r="B3">
        <v>11</v>
      </c>
      <c r="C3">
        <v>17</v>
      </c>
      <c r="D3">
        <v>0.36</v>
      </c>
      <c r="E3">
        <f>EdadesTabla[[#This Row],[fre]]*100</f>
        <v>36</v>
      </c>
      <c r="G3">
        <v>1</v>
      </c>
      <c r="H3">
        <v>7</v>
      </c>
      <c r="I3">
        <v>13</v>
      </c>
      <c r="J3">
        <v>0.28000000000000003</v>
      </c>
      <c r="K3">
        <f>EdadesTabla7[[#This Row],[fre]]*100</f>
        <v>28.000000000000004</v>
      </c>
    </row>
    <row r="4" spans="1:11" x14ac:dyDescent="0.25">
      <c r="A4">
        <v>15</v>
      </c>
      <c r="B4">
        <v>8</v>
      </c>
      <c r="C4">
        <v>25</v>
      </c>
      <c r="D4">
        <v>0.26</v>
      </c>
      <c r="E4">
        <f>EdadesTabla[[#This Row],[fre]]*100</f>
        <v>26</v>
      </c>
      <c r="G4">
        <v>2</v>
      </c>
      <c r="H4">
        <v>6</v>
      </c>
      <c r="I4">
        <v>19</v>
      </c>
      <c r="J4">
        <v>0.24</v>
      </c>
      <c r="K4">
        <f>EdadesTabla7[[#This Row],[fre]]*100</f>
        <v>24</v>
      </c>
    </row>
    <row r="5" spans="1:11" x14ac:dyDescent="0.25">
      <c r="A5">
        <v>16</v>
      </c>
      <c r="B5">
        <v>4</v>
      </c>
      <c r="C5">
        <v>29</v>
      </c>
      <c r="D5">
        <v>0.13</v>
      </c>
      <c r="E5">
        <f>EdadesTabla[[#This Row],[fre]]*100</f>
        <v>13</v>
      </c>
      <c r="G5">
        <v>3</v>
      </c>
      <c r="H5">
        <v>4</v>
      </c>
      <c r="I5">
        <v>23</v>
      </c>
      <c r="J5">
        <v>0.16</v>
      </c>
      <c r="K5">
        <f>EdadesTabla7[[#This Row],[fre]]*100</f>
        <v>16</v>
      </c>
    </row>
    <row r="6" spans="1:11" x14ac:dyDescent="0.25">
      <c r="A6">
        <v>17</v>
      </c>
      <c r="B6">
        <v>0</v>
      </c>
      <c r="C6">
        <v>29</v>
      </c>
      <c r="D6">
        <v>0</v>
      </c>
      <c r="E6">
        <f>EdadesTabla[[#This Row],[fre]]*100</f>
        <v>0</v>
      </c>
      <c r="G6">
        <v>4</v>
      </c>
      <c r="H6">
        <v>1</v>
      </c>
      <c r="I6">
        <v>24</v>
      </c>
      <c r="J6">
        <v>0.04</v>
      </c>
      <c r="K6">
        <f>EdadesTabla7[[#This Row],[fre]]*100</f>
        <v>4</v>
      </c>
    </row>
    <row r="7" spans="1:11" x14ac:dyDescent="0.25">
      <c r="A7">
        <v>18</v>
      </c>
      <c r="B7">
        <v>1</v>
      </c>
      <c r="C7">
        <v>30</v>
      </c>
      <c r="D7">
        <v>0.03</v>
      </c>
      <c r="E7">
        <f>EdadesTabla[[#This Row],[fre]]*100</f>
        <v>3</v>
      </c>
      <c r="G7">
        <v>5</v>
      </c>
      <c r="H7">
        <v>1</v>
      </c>
      <c r="I7">
        <v>25</v>
      </c>
      <c r="J7">
        <v>0.04</v>
      </c>
      <c r="K7">
        <f>EdadesTabla7[[#This Row],[fre]]*100</f>
        <v>4</v>
      </c>
    </row>
    <row r="8" spans="1:11" x14ac:dyDescent="0.25">
      <c r="A8" t="s">
        <v>25</v>
      </c>
      <c r="B8">
        <f>SUBTOTAL(109,EdadesTabla[fab])</f>
        <v>30</v>
      </c>
      <c r="D8">
        <f>SUBTOTAL(109,EdadesTabla[fre])</f>
        <v>0.98000000000000009</v>
      </c>
      <c r="E8">
        <f>SUBTOTAL(109,EdadesTabla[%])</f>
        <v>98</v>
      </c>
      <c r="G8" t="s">
        <v>25</v>
      </c>
      <c r="H8">
        <f>SUBTOTAL(109,EdadesTabla7[fab])</f>
        <v>25</v>
      </c>
      <c r="J8">
        <f>SUBTOTAL(109,EdadesTabla7[fre])</f>
        <v>1</v>
      </c>
      <c r="K8">
        <f>SUBTOTAL(109,EdadesTabla7[%])</f>
        <v>100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A00E-FA50-4C4C-830E-B536382A57E9}">
  <dimension ref="A1:N10"/>
  <sheetViews>
    <sheetView tabSelected="1" topLeftCell="I1" workbookViewId="0">
      <selection activeCell="R27" sqref="R27"/>
    </sheetView>
  </sheetViews>
  <sheetFormatPr baseColWidth="10" defaultRowHeight="15" x14ac:dyDescent="0.25"/>
  <cols>
    <col min="1" max="1" width="7.7109375" bestFit="1" customWidth="1"/>
    <col min="2" max="6" width="7.7109375" customWidth="1"/>
    <col min="9" max="14" width="8.7109375" customWidth="1"/>
  </cols>
  <sheetData>
    <row r="1" spans="1:14" x14ac:dyDescent="0.25">
      <c r="A1" s="17" t="s">
        <v>62</v>
      </c>
      <c r="B1" s="17" t="s">
        <v>14</v>
      </c>
      <c r="C1" s="17" t="s">
        <v>2</v>
      </c>
      <c r="D1" s="17" t="s">
        <v>44</v>
      </c>
      <c r="E1" s="17" t="s">
        <v>10</v>
      </c>
      <c r="F1" s="17" t="s">
        <v>12</v>
      </c>
      <c r="I1" s="17" t="s">
        <v>58</v>
      </c>
      <c r="J1" s="17" t="s">
        <v>14</v>
      </c>
      <c r="K1" s="17" t="s">
        <v>2</v>
      </c>
      <c r="L1" s="17" t="s">
        <v>44</v>
      </c>
      <c r="M1" s="17" t="s">
        <v>10</v>
      </c>
      <c r="N1" s="17" t="s">
        <v>12</v>
      </c>
    </row>
    <row r="2" spans="1:14" x14ac:dyDescent="0.25">
      <c r="A2" s="17" t="s">
        <v>63</v>
      </c>
      <c r="B2" s="17">
        <v>34.5</v>
      </c>
      <c r="C2" s="17">
        <v>1</v>
      </c>
      <c r="D2" s="17">
        <f>SUM(INDEX(Tabla7[f],1):Tabla7[[#This Row],[f]])</f>
        <v>1</v>
      </c>
      <c r="E2" s="17">
        <f>Tabla7[[#This Row],[f]]/Tabla7[[#Totals],[f]]</f>
        <v>2.5000000000000001E-2</v>
      </c>
      <c r="F2" s="17">
        <f>Tabla7[[#This Row],[fr]]*100</f>
        <v>2.5</v>
      </c>
      <c r="I2" s="24" t="s">
        <v>72</v>
      </c>
      <c r="J2" s="17">
        <v>8</v>
      </c>
      <c r="K2" s="17">
        <v>5</v>
      </c>
      <c r="L2" s="17">
        <f>SUM(INDEX(Tabla79[f],1):Tabla79[[#This Row],[f]])</f>
        <v>5</v>
      </c>
      <c r="M2" s="17">
        <f>Tabla79[[#This Row],[f]]/Tabla79[[#Totals],[f]]</f>
        <v>8.3333333333333329E-2</v>
      </c>
      <c r="N2" s="17">
        <f>Tabla79[[#This Row],[fr]]*100</f>
        <v>8.3333333333333321</v>
      </c>
    </row>
    <row r="3" spans="1:14" x14ac:dyDescent="0.25">
      <c r="A3" s="17" t="s">
        <v>64</v>
      </c>
      <c r="B3" s="17">
        <v>37.5</v>
      </c>
      <c r="C3" s="17">
        <v>9</v>
      </c>
      <c r="D3" s="17">
        <f>SUM(INDEX(Tabla7[f],1):Tabla7[[#This Row],[f]])</f>
        <v>10</v>
      </c>
      <c r="E3" s="17">
        <f>Tabla7[[#This Row],[f]]/Tabla7[[#Totals],[f]]</f>
        <v>0.22500000000000001</v>
      </c>
      <c r="F3" s="17">
        <f>Tabla7[[#This Row],[fr]]*100</f>
        <v>22.5</v>
      </c>
      <c r="I3" s="24" t="s">
        <v>73</v>
      </c>
      <c r="J3" s="17">
        <v>18</v>
      </c>
      <c r="K3" s="17">
        <v>19</v>
      </c>
      <c r="L3" s="17">
        <f>SUM(INDEX(Tabla79[f],1):Tabla79[[#This Row],[f]])</f>
        <v>24</v>
      </c>
      <c r="M3" s="17">
        <f>Tabla79[[#This Row],[f]]/Tabla79[[#Totals],[f]]</f>
        <v>0.31666666666666665</v>
      </c>
      <c r="N3" s="17">
        <f>Tabla79[[#This Row],[fr]]*100</f>
        <v>31.666666666666664</v>
      </c>
    </row>
    <row r="4" spans="1:14" x14ac:dyDescent="0.25">
      <c r="A4" s="17" t="s">
        <v>65</v>
      </c>
      <c r="B4" s="17">
        <v>40.5</v>
      </c>
      <c r="C4" s="17">
        <v>14</v>
      </c>
      <c r="D4" s="17">
        <f>SUM(INDEX(Tabla7[f],1):Tabla7[[#This Row],[f]])</f>
        <v>24</v>
      </c>
      <c r="E4" s="17">
        <f>Tabla7[[#This Row],[f]]/Tabla7[[#Totals],[f]]</f>
        <v>0.35</v>
      </c>
      <c r="F4" s="17">
        <f>Tabla7[[#This Row],[fr]]*100</f>
        <v>35</v>
      </c>
      <c r="I4" s="24" t="s">
        <v>74</v>
      </c>
      <c r="J4" s="17">
        <v>28</v>
      </c>
      <c r="K4" s="17">
        <v>16</v>
      </c>
      <c r="L4" s="17">
        <f>SUM(INDEX(Tabla79[f],1):Tabla79[[#This Row],[f]])</f>
        <v>40</v>
      </c>
      <c r="M4" s="17">
        <f>Tabla79[[#This Row],[f]]/Tabla79[[#Totals],[f]]</f>
        <v>0.26666666666666666</v>
      </c>
      <c r="N4" s="17">
        <f>Tabla79[[#This Row],[fr]]*100</f>
        <v>26.666666666666668</v>
      </c>
    </row>
    <row r="5" spans="1:14" x14ac:dyDescent="0.25">
      <c r="A5" s="17" t="s">
        <v>66</v>
      </c>
      <c r="B5" s="17">
        <v>43.5</v>
      </c>
      <c r="C5" s="17">
        <v>7</v>
      </c>
      <c r="D5" s="17">
        <f>SUM(INDEX(Tabla7[f],1):Tabla7[[#This Row],[f]])</f>
        <v>31</v>
      </c>
      <c r="E5" s="17">
        <f>Tabla7[[#This Row],[f]]/Tabla7[[#Totals],[f]]</f>
        <v>0.17499999999999999</v>
      </c>
      <c r="F5" s="17">
        <f>Tabla7[[#This Row],[fr]]*100</f>
        <v>17.5</v>
      </c>
      <c r="I5" s="24" t="s">
        <v>75</v>
      </c>
      <c r="J5" s="17">
        <v>38</v>
      </c>
      <c r="K5" s="17">
        <v>8</v>
      </c>
      <c r="L5" s="17">
        <f>SUM(INDEX(Tabla79[f],1):Tabla79[[#This Row],[f]])</f>
        <v>48</v>
      </c>
      <c r="M5" s="17">
        <f>Tabla79[[#This Row],[f]]/Tabla79[[#Totals],[f]]</f>
        <v>0.13333333333333333</v>
      </c>
      <c r="N5" s="17">
        <f>Tabla79[[#This Row],[fr]]*100</f>
        <v>13.333333333333334</v>
      </c>
    </row>
    <row r="6" spans="1:14" x14ac:dyDescent="0.25">
      <c r="A6" s="17" t="s">
        <v>67</v>
      </c>
      <c r="B6" s="17">
        <v>46.5</v>
      </c>
      <c r="C6" s="17">
        <v>4</v>
      </c>
      <c r="D6" s="17">
        <f>SUM(INDEX(Tabla7[f],1):Tabla7[[#This Row],[f]])</f>
        <v>35</v>
      </c>
      <c r="E6" s="17">
        <f>Tabla7[[#This Row],[f]]/Tabla7[[#Totals],[f]]</f>
        <v>0.1</v>
      </c>
      <c r="F6" s="17">
        <f>Tabla7[[#This Row],[fr]]*100</f>
        <v>10</v>
      </c>
      <c r="I6" s="24" t="s">
        <v>76</v>
      </c>
      <c r="J6" s="17">
        <v>48</v>
      </c>
      <c r="K6" s="17">
        <v>6</v>
      </c>
      <c r="L6" s="17">
        <f>SUM(INDEX(Tabla79[f],1):Tabla79[[#This Row],[f]])</f>
        <v>54</v>
      </c>
      <c r="M6" s="17">
        <f>Tabla79[[#This Row],[f]]/Tabla79[[#Totals],[f]]</f>
        <v>0.1</v>
      </c>
      <c r="N6" s="17">
        <f>Tabla79[[#This Row],[fr]]*100</f>
        <v>10</v>
      </c>
    </row>
    <row r="7" spans="1:14" x14ac:dyDescent="0.25">
      <c r="A7" s="17" t="s">
        <v>68</v>
      </c>
      <c r="B7" s="17">
        <v>49.5</v>
      </c>
      <c r="C7" s="17">
        <v>3</v>
      </c>
      <c r="D7" s="17">
        <f>SUM(INDEX(Tabla7[f],1):Tabla7[[#This Row],[f]])</f>
        <v>38</v>
      </c>
      <c r="E7" s="17">
        <f>Tabla7[[#This Row],[f]]/Tabla7[[#Totals],[f]]</f>
        <v>7.4999999999999997E-2</v>
      </c>
      <c r="F7" s="17">
        <f>Tabla7[[#This Row],[fr]]*100</f>
        <v>7.5</v>
      </c>
      <c r="I7" s="24" t="s">
        <v>77</v>
      </c>
      <c r="J7" s="17">
        <v>58</v>
      </c>
      <c r="K7" s="17">
        <v>4</v>
      </c>
      <c r="L7" s="17">
        <f>SUM(INDEX(Tabla79[f],1):Tabla79[[#This Row],[f]])</f>
        <v>58</v>
      </c>
      <c r="M7" s="17">
        <f>Tabla79[[#This Row],[f]]/Tabla79[[#Totals],[f]]</f>
        <v>6.6666666666666666E-2</v>
      </c>
      <c r="N7" s="17">
        <f>Tabla79[[#This Row],[fr]]*100</f>
        <v>6.666666666666667</v>
      </c>
    </row>
    <row r="8" spans="1:14" x14ac:dyDescent="0.25">
      <c r="A8" s="17" t="s">
        <v>69</v>
      </c>
      <c r="B8" s="17">
        <v>52.5</v>
      </c>
      <c r="C8" s="17">
        <v>2</v>
      </c>
      <c r="D8" s="17">
        <f>SUM(INDEX(Tabla7[f],1):Tabla7[[#This Row],[f]])</f>
        <v>40</v>
      </c>
      <c r="E8" s="17">
        <f>Tabla7[[#This Row],[f]]/Tabla7[[#Totals],[f]]</f>
        <v>0.05</v>
      </c>
      <c r="F8" s="17">
        <f>Tabla7[[#This Row],[fr]]*100</f>
        <v>5</v>
      </c>
      <c r="I8" s="24" t="s">
        <v>78</v>
      </c>
      <c r="J8" s="17">
        <v>68</v>
      </c>
      <c r="K8" s="17">
        <v>2</v>
      </c>
      <c r="L8" s="17">
        <f>SUM(INDEX(Tabla79[f],1):Tabla79[[#This Row],[f]])</f>
        <v>60</v>
      </c>
      <c r="M8" s="17">
        <f>Tabla79[[#This Row],[f]]/Tabla79[[#Totals],[f]]</f>
        <v>3.3333333333333333E-2</v>
      </c>
      <c r="N8" s="17">
        <f>Tabla79[[#This Row],[fr]]*100</f>
        <v>3.3333333333333335</v>
      </c>
    </row>
    <row r="9" spans="1:14" x14ac:dyDescent="0.25">
      <c r="A9" s="17" t="s">
        <v>25</v>
      </c>
      <c r="B9" s="17"/>
      <c r="C9" s="17">
        <f>SUBTOTAL(109,Tabla7[f])</f>
        <v>40</v>
      </c>
      <c r="D9" s="17"/>
      <c r="E9" s="17">
        <f>SUBTOTAL(109,Tabla7[fr])</f>
        <v>0.99999999999999989</v>
      </c>
      <c r="F9" s="17">
        <f>SUBTOTAL(109,Tabla7[%])</f>
        <v>100</v>
      </c>
      <c r="I9" s="17" t="s">
        <v>25</v>
      </c>
      <c r="J9" s="17"/>
      <c r="K9" s="17">
        <f>SUBTOTAL(109,Tabla79[f])</f>
        <v>60</v>
      </c>
      <c r="L9" s="17"/>
      <c r="M9" s="17">
        <f>SUBTOTAL(109,Tabla79[fr])</f>
        <v>0.99999999999999989</v>
      </c>
      <c r="N9" s="17">
        <f>SUBTOTAL(109,Tabla79[%])</f>
        <v>100</v>
      </c>
    </row>
    <row r="10" spans="1:14" x14ac:dyDescent="0.25">
      <c r="A10" s="15"/>
      <c r="B10" s="15" t="s">
        <v>70</v>
      </c>
      <c r="C10" s="17"/>
      <c r="D10" s="17"/>
      <c r="E10" s="17"/>
      <c r="F10" s="17"/>
      <c r="I10" s="15"/>
      <c r="J10" s="15" t="s">
        <v>71</v>
      </c>
      <c r="K10" s="17"/>
      <c r="L10" s="17"/>
      <c r="M10" s="17"/>
      <c r="N10" s="17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14</vt:i4>
      </vt:variant>
    </vt:vector>
  </HeadingPairs>
  <TitlesOfParts>
    <vt:vector size="19" baseType="lpstr">
      <vt:lpstr>Video3</vt:lpstr>
      <vt:lpstr>Pareto</vt:lpstr>
      <vt:lpstr>Video6</vt:lpstr>
      <vt:lpstr>GBarras</vt:lpstr>
      <vt:lpstr>Histograma</vt:lpstr>
      <vt:lpstr>EdadesAmplitud</vt:lpstr>
      <vt:lpstr>EdadesDatos</vt:lpstr>
      <vt:lpstr>EdadesIntervalo</vt:lpstr>
      <vt:lpstr>EdadesMaximo</vt:lpstr>
      <vt:lpstr>EdadesMinimo</vt:lpstr>
      <vt:lpstr>EdadesNuevoRango</vt:lpstr>
      <vt:lpstr>EdadesRango</vt:lpstr>
      <vt:lpstr>HorasAmplitud</vt:lpstr>
      <vt:lpstr>HorasDatos</vt:lpstr>
      <vt:lpstr>HorasIntervalo</vt:lpstr>
      <vt:lpstr>HorasMaximo</vt:lpstr>
      <vt:lpstr>HorasMinimo</vt:lpstr>
      <vt:lpstr>HorasNuevoRango</vt:lpstr>
      <vt:lpstr>HorasRango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2022-09-06T14:29:36Z</dcterms:modified>
</cp:coreProperties>
</file>