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yi/Desktop/PhD_YiZhao/Refinery/Refinery_process/blueprint-refinery/manuscript/scaling/Data/PEM/"/>
    </mc:Choice>
  </mc:AlternateContent>
  <xr:revisionPtr revIDLastSave="0" documentId="13_ncr:1_{85545616-03AE-D44B-9FEC-2F77C5D27F59}" xr6:coauthVersionLast="47" xr6:coauthVersionMax="47" xr10:uidLastSave="{00000000-0000-0000-0000-000000000000}"/>
  <bookViews>
    <workbookView xWindow="40960" yWindow="500" windowWidth="40960" windowHeight="2254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6" i="1"/>
  <c r="E15" i="1"/>
  <c r="E14" i="1"/>
  <c r="E12" i="1"/>
  <c r="Q12" i="1" s="1"/>
  <c r="E11" i="1"/>
  <c r="E10" i="1"/>
  <c r="E9" i="1"/>
  <c r="E8" i="1"/>
  <c r="E7" i="1"/>
  <c r="E6" i="1"/>
  <c r="E5" i="1"/>
  <c r="E4" i="1"/>
  <c r="Q4" i="1" s="1"/>
  <c r="E3" i="1"/>
  <c r="E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S16" i="1"/>
  <c r="Q16" i="1"/>
  <c r="S15" i="1"/>
  <c r="Q15" i="1"/>
  <c r="R14" i="1"/>
  <c r="S14" i="1" s="1"/>
  <c r="O14" i="1"/>
  <c r="N14" i="1"/>
  <c r="L14" i="1"/>
  <c r="J14" i="1"/>
  <c r="F14" i="1"/>
  <c r="R13" i="1"/>
  <c r="S13" i="1" s="1"/>
  <c r="N13" i="1"/>
  <c r="L13" i="1"/>
  <c r="F13" i="1"/>
  <c r="S12" i="1"/>
  <c r="AC11" i="1"/>
  <c r="AB11" i="1"/>
  <c r="AA11" i="1"/>
  <c r="Y11" i="1"/>
  <c r="W11" i="1"/>
  <c r="V11" i="1"/>
  <c r="U11" i="1"/>
  <c r="T11" i="1"/>
  <c r="R11" i="1"/>
  <c r="S11" i="1" s="1"/>
  <c r="N11" i="1"/>
  <c r="L11" i="1"/>
  <c r="K11" i="1"/>
  <c r="J11" i="1"/>
  <c r="F11" i="1"/>
  <c r="S10" i="1"/>
  <c r="Q10" i="1"/>
  <c r="S9" i="1"/>
  <c r="Q9" i="1"/>
  <c r="S8" i="1"/>
  <c r="Q8" i="1"/>
  <c r="V7" i="1"/>
  <c r="U7" i="1"/>
  <c r="T7" i="1"/>
  <c r="Y7" i="1" s="1"/>
  <c r="S7" i="1"/>
  <c r="Q7" i="1"/>
  <c r="V6" i="1"/>
  <c r="U6" i="1"/>
  <c r="T6" i="1"/>
  <c r="Y6" i="1" s="1"/>
  <c r="S6" i="1"/>
  <c r="F6" i="1"/>
  <c r="Q6" i="1"/>
  <c r="S5" i="1"/>
  <c r="Q5" i="1"/>
  <c r="S4" i="1"/>
  <c r="V3" i="1"/>
  <c r="T3" i="1"/>
  <c r="S3" i="1"/>
  <c r="Q3" i="1"/>
  <c r="V2" i="1"/>
  <c r="T2" i="1"/>
  <c r="S2" i="1"/>
  <c r="Q2" i="1"/>
  <c r="Q13" i="1" l="1"/>
  <c r="Q14" i="1"/>
  <c r="Q11" i="1"/>
  <c r="X6" i="1"/>
  <c r="K6" i="1"/>
  <c r="X7" i="1"/>
  <c r="K7" i="1"/>
  <c r="K9" i="1" l="1"/>
  <c r="K10" i="1"/>
  <c r="V10" i="1" l="1"/>
  <c r="U10" i="1"/>
  <c r="T10" i="1"/>
  <c r="K14" i="1"/>
  <c r="AC10" i="1"/>
  <c r="Y10" i="1"/>
  <c r="AA10" i="1"/>
  <c r="T9" i="1"/>
  <c r="K12" i="1"/>
  <c r="V9" i="1"/>
  <c r="K15" i="1"/>
  <c r="K13" i="1"/>
  <c r="AC13" i="1" l="1"/>
  <c r="AA13" i="1"/>
  <c r="X13" i="1" s="1"/>
  <c r="V13" i="1"/>
  <c r="Y13" i="1"/>
  <c r="U13" i="1"/>
  <c r="T13" i="1"/>
  <c r="AA14" i="1"/>
  <c r="X14" i="1" s="1"/>
  <c r="Y14" i="1"/>
  <c r="V14" i="1"/>
  <c r="U14" i="1"/>
  <c r="T14" i="1"/>
  <c r="AC14" i="1"/>
  <c r="V15" i="1"/>
  <c r="U15" i="1"/>
  <c r="K16" i="1"/>
  <c r="T15" i="1"/>
  <c r="AC15" i="1"/>
  <c r="AA15" i="1"/>
  <c r="X15" i="1" s="1"/>
  <c r="Y15" i="1"/>
  <c r="AC12" i="1"/>
  <c r="AA12" i="1"/>
  <c r="X12" i="1" s="1"/>
  <c r="Y12" i="1"/>
  <c r="V12" i="1"/>
  <c r="U12" i="1"/>
  <c r="T12" i="1"/>
  <c r="AC16" i="1" l="1"/>
  <c r="AA16" i="1"/>
  <c r="X16" i="1" s="1"/>
  <c r="Y16" i="1"/>
  <c r="V16" i="1"/>
  <c r="U16" i="1"/>
  <c r="T16" i="1"/>
</calcChain>
</file>

<file path=xl/sharedStrings.xml><?xml version="1.0" encoding="utf-8"?>
<sst xmlns="http://schemas.openxmlformats.org/spreadsheetml/2006/main" count="89" uniqueCount="64">
  <si>
    <t>Process flow</t>
  </si>
  <si>
    <t>Equipment</t>
  </si>
  <si>
    <t>Section</t>
  </si>
  <si>
    <t>Type</t>
  </si>
  <si>
    <t>Nominal throughput(unit/hour)</t>
  </si>
  <si>
    <t>CAPEX($)</t>
  </si>
  <si>
    <t>lifetime(year)</t>
  </si>
  <si>
    <t>m</t>
  </si>
  <si>
    <t>b</t>
  </si>
  <si>
    <t>Gross area(m2)</t>
  </si>
  <si>
    <t>Weight(kg)</t>
  </si>
  <si>
    <t>Power(kW)</t>
  </si>
  <si>
    <t>Availability</t>
  </si>
  <si>
    <t>Performance</t>
  </si>
  <si>
    <t>Yields</t>
  </si>
  <si>
    <t>Yields section</t>
  </si>
  <si>
    <t>Real throughput(unit/hour)</t>
  </si>
  <si>
    <t>Workers</t>
  </si>
  <si>
    <t>Managers</t>
  </si>
  <si>
    <t>steel</t>
  </si>
  <si>
    <t>aluminium</t>
  </si>
  <si>
    <t>copper</t>
  </si>
  <si>
    <t>aluminium silicate</t>
  </si>
  <si>
    <t>rubber</t>
  </si>
  <si>
    <t>plastic</t>
  </si>
  <si>
    <t>silicon carbide</t>
  </si>
  <si>
    <t>ceramic</t>
  </si>
  <si>
    <t>glass</t>
  </si>
  <si>
    <t>titanium</t>
  </si>
  <si>
    <t>cathode mixing</t>
  </si>
  <si>
    <t>cathode mixer</t>
  </si>
  <si>
    <t>CCM</t>
  </si>
  <si>
    <t>Solid.Fluid</t>
  </si>
  <si>
    <t>anode mixing</t>
  </si>
  <si>
    <t>anode mixer</t>
  </si>
  <si>
    <t>cathode deforming</t>
  </si>
  <si>
    <t>cathode deforming machine</t>
  </si>
  <si>
    <t>anode deforming</t>
  </si>
  <si>
    <t>anode deforming machine</t>
  </si>
  <si>
    <t>cathode coating</t>
  </si>
  <si>
    <t>cathode coating line</t>
  </si>
  <si>
    <t>Solid</t>
  </si>
  <si>
    <t>anode coating</t>
  </si>
  <si>
    <t>anode coating line</t>
  </si>
  <si>
    <t>membrane cutting</t>
  </si>
  <si>
    <t>cutting machine</t>
  </si>
  <si>
    <t>powder metallurgy production</t>
  </si>
  <si>
    <t>Powder metallurgy production line</t>
  </si>
  <si>
    <t>PTL</t>
  </si>
  <si>
    <t>PVD coating</t>
  </si>
  <si>
    <t>Physical Vapor Deposition</t>
  </si>
  <si>
    <t>carbon cloth cutting</t>
  </si>
  <si>
    <t>carbon cloth coating line</t>
  </si>
  <si>
    <t>injection molding</t>
  </si>
  <si>
    <t>Injection molding production line</t>
  </si>
  <si>
    <t>MEA</t>
  </si>
  <si>
    <t>Bipolar plate stamping</t>
  </si>
  <si>
    <t>Bipolar plate production line</t>
  </si>
  <si>
    <t>BP</t>
  </si>
  <si>
    <t>cell assembly</t>
  </si>
  <si>
    <t>MEA assembly line</t>
  </si>
  <si>
    <t>assembly</t>
  </si>
  <si>
    <t>stack assembly</t>
  </si>
  <si>
    <t>stack assembly line-autumatic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</si>
</sst>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"/>
    <numFmt numFmtId="165" formatCode="#,##0.00000"/>
    <numFmt numFmtId="166" formatCode="#,##0.0"/>
    <numFmt numFmtId="167" formatCode="#,##0.00%"/>
    <numFmt numFmtId="168" formatCode="#,##0.0%"/>
    <numFmt numFmtId="169" formatCode="#,##0%"/>
    <numFmt numFmtId="171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rgb="FF000000"/>
      <name val="Helvetica"/>
      <family val="2"/>
    </font>
    <font>
      <sz val="12"/>
      <color rgb="FF000000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rgb="FF61CBF4"/>
      </patternFill>
    </fill>
    <fill>
      <patternFill patternType="solid">
        <fgColor rgb="FFDCEAF7"/>
      </patternFill>
    </fill>
    <fill>
      <patternFill patternType="solid">
        <fgColor rgb="FFDAE9F8"/>
      </patternFill>
    </fill>
    <fill>
      <patternFill patternType="solid">
        <fgColor rgb="FFD9F2D0"/>
      </patternFill>
    </fill>
    <fill>
      <patternFill patternType="solid">
        <fgColor rgb="FFF2CFEE"/>
      </patternFill>
    </fill>
    <fill>
      <patternFill patternType="solid">
        <fgColor rgb="FF96DCF8"/>
      </patternFill>
    </fill>
    <fill>
      <patternFill patternType="solid">
        <fgColor rgb="FF83CBEB"/>
      </patternFill>
    </fill>
    <fill>
      <patternFill patternType="solid">
        <fgColor rgb="FFFBE3D6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165" fontId="1" fillId="2" borderId="2" xfId="0" applyNumberFormat="1" applyFont="1" applyFill="1" applyBorder="1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167" fontId="1" fillId="2" borderId="1" xfId="0" applyNumberFormat="1" applyFont="1" applyFill="1" applyBorder="1" applyAlignment="1">
      <alignment horizontal="left"/>
    </xf>
    <xf numFmtId="168" fontId="1" fillId="2" borderId="2" xfId="0" applyNumberFormat="1" applyFont="1" applyFill="1" applyBorder="1" applyAlignment="1">
      <alignment horizontal="left"/>
    </xf>
    <xf numFmtId="168" fontId="1" fillId="2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1" fillId="2" borderId="3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" fontId="1" fillId="3" borderId="5" xfId="0" applyNumberFormat="1" applyFont="1" applyFill="1" applyBorder="1" applyAlignment="1">
      <alignment horizontal="left"/>
    </xf>
    <xf numFmtId="164" fontId="1" fillId="3" borderId="5" xfId="0" applyNumberFormat="1" applyFont="1" applyFill="1" applyBorder="1" applyAlignment="1">
      <alignment horizontal="left"/>
    </xf>
    <xf numFmtId="165" fontId="1" fillId="3" borderId="5" xfId="0" applyNumberFormat="1" applyFont="1" applyFill="1" applyBorder="1" applyAlignment="1">
      <alignment horizontal="left"/>
    </xf>
    <xf numFmtId="166" fontId="1" fillId="3" borderId="5" xfId="0" applyNumberFormat="1" applyFont="1" applyFill="1" applyBorder="1" applyAlignment="1">
      <alignment horizontal="left"/>
    </xf>
    <xf numFmtId="167" fontId="1" fillId="3" borderId="4" xfId="0" applyNumberFormat="1" applyFont="1" applyFill="1" applyBorder="1" applyAlignment="1">
      <alignment horizontal="left"/>
    </xf>
    <xf numFmtId="168" fontId="1" fillId="3" borderId="5" xfId="0" applyNumberFormat="1" applyFont="1" applyFill="1" applyBorder="1" applyAlignment="1">
      <alignment horizontal="left"/>
    </xf>
    <xf numFmtId="168" fontId="1" fillId="3" borderId="6" xfId="0" applyNumberFormat="1" applyFont="1" applyFill="1" applyBorder="1" applyAlignment="1">
      <alignment horizontal="left"/>
    </xf>
    <xf numFmtId="1" fontId="1" fillId="3" borderId="6" xfId="0" applyNumberFormat="1" applyFont="1" applyFill="1" applyBorder="1" applyAlignment="1">
      <alignment horizontal="left"/>
    </xf>
    <xf numFmtId="3" fontId="1" fillId="3" borderId="4" xfId="0" applyNumberFormat="1" applyFont="1" applyFill="1" applyBorder="1" applyAlignment="1">
      <alignment horizontal="left"/>
    </xf>
    <xf numFmtId="4" fontId="1" fillId="3" borderId="6" xfId="0" applyNumberFormat="1" applyFont="1" applyFill="1" applyBorder="1" applyAlignment="1">
      <alignment horizontal="left"/>
    </xf>
    <xf numFmtId="1" fontId="1" fillId="3" borderId="4" xfId="0" applyNumberFormat="1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1" fontId="1" fillId="5" borderId="5" xfId="0" applyNumberFormat="1" applyFont="1" applyFill="1" applyBorder="1" applyAlignment="1">
      <alignment horizontal="left"/>
    </xf>
    <xf numFmtId="164" fontId="1" fillId="5" borderId="5" xfId="0" applyNumberFormat="1" applyFont="1" applyFill="1" applyBorder="1" applyAlignment="1">
      <alignment horizontal="left"/>
    </xf>
    <xf numFmtId="165" fontId="1" fillId="5" borderId="5" xfId="0" applyNumberFormat="1" applyFont="1" applyFill="1" applyBorder="1" applyAlignment="1">
      <alignment horizontal="left"/>
    </xf>
    <xf numFmtId="166" fontId="1" fillId="5" borderId="5" xfId="0" applyNumberFormat="1" applyFont="1" applyFill="1" applyBorder="1" applyAlignment="1">
      <alignment horizontal="left"/>
    </xf>
    <xf numFmtId="167" fontId="1" fillId="5" borderId="4" xfId="0" applyNumberFormat="1" applyFont="1" applyFill="1" applyBorder="1" applyAlignment="1">
      <alignment horizontal="left"/>
    </xf>
    <xf numFmtId="168" fontId="1" fillId="5" borderId="5" xfId="0" applyNumberFormat="1" applyFont="1" applyFill="1" applyBorder="1" applyAlignment="1">
      <alignment horizontal="left"/>
    </xf>
    <xf numFmtId="168" fontId="1" fillId="5" borderId="6" xfId="0" applyNumberFormat="1" applyFont="1" applyFill="1" applyBorder="1" applyAlignment="1">
      <alignment horizontal="left"/>
    </xf>
    <xf numFmtId="1" fontId="1" fillId="5" borderId="6" xfId="0" applyNumberFormat="1" applyFont="1" applyFill="1" applyBorder="1" applyAlignment="1">
      <alignment horizontal="left"/>
    </xf>
    <xf numFmtId="3" fontId="1" fillId="5" borderId="4" xfId="0" applyNumberFormat="1" applyFont="1" applyFill="1" applyBorder="1" applyAlignment="1">
      <alignment horizontal="left"/>
    </xf>
    <xf numFmtId="4" fontId="1" fillId="5" borderId="6" xfId="0" applyNumberFormat="1" applyFont="1" applyFill="1" applyBorder="1" applyAlignment="1">
      <alignment horizontal="left"/>
    </xf>
    <xf numFmtId="1" fontId="1" fillId="5" borderId="4" xfId="0" applyNumberFormat="1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166" fontId="2" fillId="5" borderId="5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1" fontId="1" fillId="6" borderId="5" xfId="0" applyNumberFormat="1" applyFont="1" applyFill="1" applyBorder="1" applyAlignment="1">
      <alignment horizontal="left"/>
    </xf>
    <xf numFmtId="164" fontId="1" fillId="6" borderId="5" xfId="0" applyNumberFormat="1" applyFont="1" applyFill="1" applyBorder="1" applyAlignment="1">
      <alignment horizontal="left"/>
    </xf>
    <xf numFmtId="165" fontId="1" fillId="6" borderId="5" xfId="0" applyNumberFormat="1" applyFont="1" applyFill="1" applyBorder="1" applyAlignment="1">
      <alignment horizontal="left"/>
    </xf>
    <xf numFmtId="166" fontId="1" fillId="6" borderId="5" xfId="0" applyNumberFormat="1" applyFont="1" applyFill="1" applyBorder="1" applyAlignment="1">
      <alignment horizontal="left"/>
    </xf>
    <xf numFmtId="167" fontId="1" fillId="6" borderId="4" xfId="0" applyNumberFormat="1" applyFont="1" applyFill="1" applyBorder="1" applyAlignment="1">
      <alignment horizontal="left"/>
    </xf>
    <xf numFmtId="168" fontId="1" fillId="6" borderId="5" xfId="0" applyNumberFormat="1" applyFont="1" applyFill="1" applyBorder="1" applyAlignment="1">
      <alignment horizontal="left"/>
    </xf>
    <xf numFmtId="168" fontId="1" fillId="6" borderId="6" xfId="0" applyNumberFormat="1" applyFont="1" applyFill="1" applyBorder="1" applyAlignment="1">
      <alignment horizontal="left"/>
    </xf>
    <xf numFmtId="1" fontId="1" fillId="6" borderId="6" xfId="0" applyNumberFormat="1" applyFont="1" applyFill="1" applyBorder="1" applyAlignment="1">
      <alignment horizontal="left"/>
    </xf>
    <xf numFmtId="3" fontId="1" fillId="6" borderId="4" xfId="0" applyNumberFormat="1" applyFont="1" applyFill="1" applyBorder="1" applyAlignment="1">
      <alignment horizontal="left"/>
    </xf>
    <xf numFmtId="4" fontId="1" fillId="6" borderId="6" xfId="0" applyNumberFormat="1" applyFont="1" applyFill="1" applyBorder="1" applyAlignment="1">
      <alignment horizontal="left"/>
    </xf>
    <xf numFmtId="1" fontId="1" fillId="6" borderId="4" xfId="0" applyNumberFormat="1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1" fontId="1" fillId="7" borderId="5" xfId="0" applyNumberFormat="1" applyFont="1" applyFill="1" applyBorder="1" applyAlignment="1">
      <alignment horizontal="left"/>
    </xf>
    <xf numFmtId="164" fontId="1" fillId="7" borderId="5" xfId="0" applyNumberFormat="1" applyFont="1" applyFill="1" applyBorder="1" applyAlignment="1">
      <alignment horizontal="left"/>
    </xf>
    <xf numFmtId="165" fontId="1" fillId="7" borderId="5" xfId="0" applyNumberFormat="1" applyFont="1" applyFill="1" applyBorder="1" applyAlignment="1">
      <alignment horizontal="left"/>
    </xf>
    <xf numFmtId="166" fontId="1" fillId="7" borderId="5" xfId="0" applyNumberFormat="1" applyFont="1" applyFill="1" applyBorder="1" applyAlignment="1">
      <alignment horizontal="left"/>
    </xf>
    <xf numFmtId="167" fontId="1" fillId="7" borderId="4" xfId="0" applyNumberFormat="1" applyFont="1" applyFill="1" applyBorder="1" applyAlignment="1">
      <alignment horizontal="left"/>
    </xf>
    <xf numFmtId="168" fontId="1" fillId="7" borderId="5" xfId="0" applyNumberFormat="1" applyFont="1" applyFill="1" applyBorder="1" applyAlignment="1">
      <alignment horizontal="left"/>
    </xf>
    <xf numFmtId="168" fontId="1" fillId="7" borderId="6" xfId="0" applyNumberFormat="1" applyFont="1" applyFill="1" applyBorder="1" applyAlignment="1">
      <alignment horizontal="left"/>
    </xf>
    <xf numFmtId="1" fontId="1" fillId="7" borderId="6" xfId="0" applyNumberFormat="1" applyFont="1" applyFill="1" applyBorder="1" applyAlignment="1">
      <alignment horizontal="left"/>
    </xf>
    <xf numFmtId="3" fontId="1" fillId="7" borderId="4" xfId="0" applyNumberFormat="1" applyFont="1" applyFill="1" applyBorder="1" applyAlignment="1">
      <alignment horizontal="left"/>
    </xf>
    <xf numFmtId="4" fontId="1" fillId="7" borderId="6" xfId="0" applyNumberFormat="1" applyFont="1" applyFill="1" applyBorder="1" applyAlignment="1">
      <alignment horizontal="left"/>
    </xf>
    <xf numFmtId="1" fontId="1" fillId="8" borderId="4" xfId="0" applyNumberFormat="1" applyFont="1" applyFill="1" applyBorder="1" applyAlignment="1">
      <alignment horizontal="left"/>
    </xf>
    <xf numFmtId="1" fontId="1" fillId="8" borderId="5" xfId="0" applyNumberFormat="1" applyFont="1" applyFill="1" applyBorder="1" applyAlignment="1">
      <alignment horizontal="left"/>
    </xf>
    <xf numFmtId="1" fontId="1" fillId="8" borderId="6" xfId="0" applyNumberFormat="1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left"/>
    </xf>
    <xf numFmtId="1" fontId="1" fillId="9" borderId="5" xfId="0" applyNumberFormat="1" applyFont="1" applyFill="1" applyBorder="1" applyAlignment="1">
      <alignment horizontal="left"/>
    </xf>
    <xf numFmtId="164" fontId="1" fillId="9" borderId="5" xfId="0" applyNumberFormat="1" applyFont="1" applyFill="1" applyBorder="1" applyAlignment="1">
      <alignment horizontal="left"/>
    </xf>
    <xf numFmtId="165" fontId="1" fillId="9" borderId="5" xfId="0" applyNumberFormat="1" applyFont="1" applyFill="1" applyBorder="1" applyAlignment="1">
      <alignment horizontal="left"/>
    </xf>
    <xf numFmtId="166" fontId="1" fillId="9" borderId="5" xfId="0" applyNumberFormat="1" applyFont="1" applyFill="1" applyBorder="1" applyAlignment="1">
      <alignment horizontal="left"/>
    </xf>
    <xf numFmtId="167" fontId="1" fillId="9" borderId="4" xfId="0" applyNumberFormat="1" applyFont="1" applyFill="1" applyBorder="1" applyAlignment="1">
      <alignment horizontal="left"/>
    </xf>
    <xf numFmtId="168" fontId="1" fillId="9" borderId="5" xfId="0" applyNumberFormat="1" applyFont="1" applyFill="1" applyBorder="1" applyAlignment="1">
      <alignment horizontal="left"/>
    </xf>
    <xf numFmtId="168" fontId="1" fillId="9" borderId="6" xfId="0" applyNumberFormat="1" applyFont="1" applyFill="1" applyBorder="1" applyAlignment="1">
      <alignment horizontal="left"/>
    </xf>
    <xf numFmtId="1" fontId="1" fillId="9" borderId="6" xfId="0" applyNumberFormat="1" applyFont="1" applyFill="1" applyBorder="1" applyAlignment="1">
      <alignment horizontal="left"/>
    </xf>
    <xf numFmtId="3" fontId="1" fillId="9" borderId="4" xfId="0" applyNumberFormat="1" applyFont="1" applyFill="1" applyBorder="1" applyAlignment="1">
      <alignment horizontal="left"/>
    </xf>
    <xf numFmtId="4" fontId="1" fillId="9" borderId="6" xfId="0" applyNumberFormat="1" applyFont="1" applyFill="1" applyBorder="1" applyAlignment="1">
      <alignment horizontal="left"/>
    </xf>
    <xf numFmtId="1" fontId="1" fillId="9" borderId="4" xfId="0" applyNumberFormat="1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1" fontId="1" fillId="9" borderId="8" xfId="0" applyNumberFormat="1" applyFont="1" applyFill="1" applyBorder="1" applyAlignment="1">
      <alignment horizontal="left"/>
    </xf>
    <xf numFmtId="164" fontId="1" fillId="9" borderId="8" xfId="0" applyNumberFormat="1" applyFont="1" applyFill="1" applyBorder="1" applyAlignment="1">
      <alignment horizontal="left"/>
    </xf>
    <xf numFmtId="165" fontId="1" fillId="9" borderId="8" xfId="0" applyNumberFormat="1" applyFont="1" applyFill="1" applyBorder="1" applyAlignment="1">
      <alignment horizontal="left"/>
    </xf>
    <xf numFmtId="166" fontId="1" fillId="9" borderId="8" xfId="0" applyNumberFormat="1" applyFont="1" applyFill="1" applyBorder="1" applyAlignment="1">
      <alignment horizontal="left"/>
    </xf>
    <xf numFmtId="167" fontId="1" fillId="9" borderId="7" xfId="0" applyNumberFormat="1" applyFont="1" applyFill="1" applyBorder="1" applyAlignment="1">
      <alignment horizontal="left"/>
    </xf>
    <xf numFmtId="168" fontId="1" fillId="9" borderId="8" xfId="0" applyNumberFormat="1" applyFont="1" applyFill="1" applyBorder="1" applyAlignment="1">
      <alignment horizontal="left"/>
    </xf>
    <xf numFmtId="168" fontId="1" fillId="9" borderId="9" xfId="0" applyNumberFormat="1" applyFont="1" applyFill="1" applyBorder="1" applyAlignment="1">
      <alignment horizontal="left"/>
    </xf>
    <xf numFmtId="1" fontId="1" fillId="9" borderId="9" xfId="0" applyNumberFormat="1" applyFont="1" applyFill="1" applyBorder="1" applyAlignment="1">
      <alignment horizontal="left"/>
    </xf>
    <xf numFmtId="3" fontId="1" fillId="9" borderId="7" xfId="0" applyNumberFormat="1" applyFont="1" applyFill="1" applyBorder="1" applyAlignment="1">
      <alignment horizontal="left"/>
    </xf>
    <xf numFmtId="3" fontId="1" fillId="9" borderId="9" xfId="0" applyNumberFormat="1" applyFont="1" applyFill="1" applyBorder="1" applyAlignment="1">
      <alignment horizontal="left"/>
    </xf>
    <xf numFmtId="1" fontId="1" fillId="9" borderId="7" xfId="0" applyNumberFormat="1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1" fontId="1" fillId="10" borderId="5" xfId="0" applyNumberFormat="1" applyFont="1" applyFill="1" applyBorder="1" applyAlignment="1">
      <alignment horizontal="left"/>
    </xf>
    <xf numFmtId="164" fontId="1" fillId="10" borderId="5" xfId="0" applyNumberFormat="1" applyFont="1" applyFill="1" applyBorder="1" applyAlignment="1">
      <alignment horizontal="left"/>
    </xf>
    <xf numFmtId="165" fontId="1" fillId="10" borderId="5" xfId="0" applyNumberFormat="1" applyFont="1" applyFill="1" applyBorder="1" applyAlignment="1">
      <alignment horizontal="left"/>
    </xf>
    <xf numFmtId="166" fontId="1" fillId="10" borderId="5" xfId="0" applyNumberFormat="1" applyFont="1" applyFill="1" applyBorder="1" applyAlignment="1">
      <alignment horizontal="left"/>
    </xf>
    <xf numFmtId="167" fontId="1" fillId="10" borderId="5" xfId="0" applyNumberFormat="1" applyFont="1" applyFill="1" applyBorder="1" applyAlignment="1">
      <alignment horizontal="left"/>
    </xf>
    <xf numFmtId="168" fontId="1" fillId="0" borderId="10" xfId="0" applyNumberFormat="1" applyFont="1" applyBorder="1" applyAlignment="1">
      <alignment horizontal="right"/>
    </xf>
    <xf numFmtId="1" fontId="1" fillId="0" borderId="10" xfId="0" applyNumberFormat="1" applyFont="1" applyBorder="1" applyAlignment="1">
      <alignment horizontal="left"/>
    </xf>
    <xf numFmtId="164" fontId="1" fillId="0" borderId="10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167" fontId="1" fillId="0" borderId="10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169" fontId="1" fillId="10" borderId="5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1" fontId="1" fillId="3" borderId="5" xfId="0" applyNumberFormat="1" applyFont="1" applyFill="1" applyBorder="1" applyAlignment="1">
      <alignment horizontal="left"/>
    </xf>
    <xf numFmtId="171" fontId="1" fillId="5" borderId="5" xfId="0" applyNumberFormat="1" applyFont="1" applyFill="1" applyBorder="1" applyAlignment="1">
      <alignment horizontal="left"/>
    </xf>
    <xf numFmtId="171" fontId="1" fillId="6" borderId="5" xfId="0" applyNumberFormat="1" applyFont="1" applyFill="1" applyBorder="1" applyAlignment="1">
      <alignment horizontal="left"/>
    </xf>
    <xf numFmtId="171" fontId="1" fillId="7" borderId="5" xfId="0" applyNumberFormat="1" applyFont="1" applyFill="1" applyBorder="1" applyAlignment="1">
      <alignment horizontal="left"/>
    </xf>
    <xf numFmtId="171" fontId="1" fillId="9" borderId="5" xfId="0" applyNumberFormat="1" applyFont="1" applyFill="1" applyBorder="1" applyAlignment="1">
      <alignment horizontal="left"/>
    </xf>
    <xf numFmtId="171" fontId="1" fillId="9" borderId="8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21"/>
  <sheetViews>
    <sheetView tabSelected="1" zoomScale="130" zoomScaleNormal="130" workbookViewId="0">
      <selection activeCell="E19" sqref="E19"/>
    </sheetView>
  </sheetViews>
  <sheetFormatPr baseColWidth="10" defaultColWidth="8.83203125" defaultRowHeight="15" x14ac:dyDescent="0.2"/>
  <cols>
    <col min="1" max="1" width="23.5" bestFit="1" customWidth="1"/>
    <col min="2" max="2" width="31.5" bestFit="1" customWidth="1"/>
    <col min="3" max="4" width="10.6640625" bestFit="1" customWidth="1"/>
    <col min="5" max="5" width="9.6640625" style="112" bestFit="1" customWidth="1"/>
    <col min="6" max="7" width="10.5" style="112" bestFit="1" customWidth="1"/>
    <col min="8" max="8" width="12.83203125" style="113" bestFit="1" customWidth="1"/>
    <col min="9" max="9" width="10.6640625" style="114" bestFit="1" customWidth="1"/>
    <col min="10" max="10" width="11.6640625" style="115" bestFit="1" customWidth="1"/>
    <col min="11" max="11" width="12.33203125" style="115" bestFit="1" customWidth="1"/>
    <col min="12" max="12" width="9.5" style="115" bestFit="1" customWidth="1"/>
    <col min="13" max="13" width="7.1640625" style="116" bestFit="1" customWidth="1"/>
    <col min="14" max="14" width="9.6640625" style="117" bestFit="1" customWidth="1"/>
    <col min="15" max="15" width="9" style="117" bestFit="1" customWidth="1"/>
    <col min="16" max="16" width="16.6640625" bestFit="1" customWidth="1"/>
    <col min="17" max="17" width="13" style="118" bestFit="1" customWidth="1"/>
    <col min="18" max="18" width="13" style="119" bestFit="1" customWidth="1"/>
    <col min="19" max="19" width="13" style="120" bestFit="1" customWidth="1"/>
    <col min="20" max="29" width="13" style="112" bestFit="1" customWidth="1"/>
  </cols>
  <sheetData>
    <row r="1" spans="1:29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10" t="s">
        <v>16</v>
      </c>
      <c r="R1" s="11" t="s">
        <v>17</v>
      </c>
      <c r="S1" s="10" t="s">
        <v>18</v>
      </c>
      <c r="T1" s="1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3" t="s">
        <v>28</v>
      </c>
    </row>
    <row r="2" spans="1:29" ht="19.5" customHeight="1" x14ac:dyDescent="0.2">
      <c r="A2" s="14" t="s">
        <v>29</v>
      </c>
      <c r="B2" s="15" t="s">
        <v>30</v>
      </c>
      <c r="C2" s="16" t="s">
        <v>31</v>
      </c>
      <c r="D2" s="16" t="s">
        <v>32</v>
      </c>
      <c r="E2" s="121">
        <f>2500/43/510</f>
        <v>0.11399908800729594</v>
      </c>
      <c r="F2" s="17">
        <v>14000</v>
      </c>
      <c r="G2" s="17">
        <v>20</v>
      </c>
      <c r="H2" s="18">
        <v>0.93503400000000003</v>
      </c>
      <c r="I2" s="19">
        <v>-9.6909999999999996E-2</v>
      </c>
      <c r="J2" s="20">
        <v>8</v>
      </c>
      <c r="K2" s="20">
        <v>12000</v>
      </c>
      <c r="L2" s="20">
        <v>105</v>
      </c>
      <c r="M2" s="21">
        <v>0.86299999999999999</v>
      </c>
      <c r="N2" s="22">
        <v>0.999</v>
      </c>
      <c r="O2" s="23">
        <v>1</v>
      </c>
      <c r="P2" s="23">
        <f t="shared" ref="P2:P8" si="0">PRODUCT($O$2:$O$16)</f>
        <v>0.73034244402338766</v>
      </c>
      <c r="Q2" s="24">
        <f t="shared" ref="Q2:Q16" si="1">M2*N2*O2*E2</f>
        <v>9.8282831737346102E-2</v>
      </c>
      <c r="R2" s="25">
        <v>1</v>
      </c>
      <c r="S2" s="26">
        <f t="shared" ref="S2:S16" si="2">R2/10</f>
        <v>0.1</v>
      </c>
      <c r="T2" s="27">
        <f>K2*0.95</f>
        <v>11400</v>
      </c>
      <c r="U2" s="17">
        <v>0</v>
      </c>
      <c r="V2" s="17">
        <f>K2*0.05</f>
        <v>600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24">
        <v>0</v>
      </c>
    </row>
    <row r="3" spans="1:29" ht="19.5" customHeight="1" x14ac:dyDescent="0.2">
      <c r="A3" s="14" t="s">
        <v>33</v>
      </c>
      <c r="B3" s="15" t="s">
        <v>34</v>
      </c>
      <c r="C3" s="16" t="s">
        <v>31</v>
      </c>
      <c r="D3" s="16" t="s">
        <v>32</v>
      </c>
      <c r="E3" s="121">
        <f>2500/75/510</f>
        <v>6.535947712418301E-2</v>
      </c>
      <c r="F3" s="17">
        <v>14000</v>
      </c>
      <c r="G3" s="17">
        <v>20</v>
      </c>
      <c r="H3" s="18">
        <v>0.93503400000000003</v>
      </c>
      <c r="I3" s="19">
        <v>-9.6909999999999996E-2</v>
      </c>
      <c r="J3" s="20">
        <v>8</v>
      </c>
      <c r="K3" s="20">
        <v>12000</v>
      </c>
      <c r="L3" s="20">
        <v>105</v>
      </c>
      <c r="M3" s="21">
        <v>0.86299999999999999</v>
      </c>
      <c r="N3" s="22">
        <v>0.999</v>
      </c>
      <c r="O3" s="23">
        <v>1</v>
      </c>
      <c r="P3" s="23">
        <f t="shared" si="0"/>
        <v>0.73034244402338766</v>
      </c>
      <c r="Q3" s="24">
        <f t="shared" si="1"/>
        <v>5.6348823529411771E-2</v>
      </c>
      <c r="R3" s="25">
        <v>1</v>
      </c>
      <c r="S3" s="26">
        <f t="shared" si="2"/>
        <v>0.1</v>
      </c>
      <c r="T3" s="27">
        <f>K3*0.95</f>
        <v>11400</v>
      </c>
      <c r="U3" s="17">
        <v>0</v>
      </c>
      <c r="V3" s="17">
        <f>K3*0.05</f>
        <v>600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24">
        <v>0</v>
      </c>
    </row>
    <row r="4" spans="1:29" ht="19.5" customHeight="1" x14ac:dyDescent="0.2">
      <c r="A4" s="14" t="s">
        <v>35</v>
      </c>
      <c r="B4" s="15" t="s">
        <v>36</v>
      </c>
      <c r="C4" s="16" t="s">
        <v>31</v>
      </c>
      <c r="D4" s="28" t="s">
        <v>32</v>
      </c>
      <c r="E4" s="121">
        <f>1500/43/510</f>
        <v>6.8399452804377564E-2</v>
      </c>
      <c r="F4" s="17">
        <v>8000</v>
      </c>
      <c r="G4" s="17">
        <v>20</v>
      </c>
      <c r="H4" s="18">
        <v>0.93503400000000003</v>
      </c>
      <c r="I4" s="19">
        <v>-9.6909999999999996E-2</v>
      </c>
      <c r="J4" s="20">
        <v>1</v>
      </c>
      <c r="K4" s="20">
        <v>950</v>
      </c>
      <c r="L4" s="20">
        <v>25</v>
      </c>
      <c r="M4" s="21">
        <v>0.86299999999999999</v>
      </c>
      <c r="N4" s="22">
        <v>0.999</v>
      </c>
      <c r="O4" s="23">
        <v>1</v>
      </c>
      <c r="P4" s="23">
        <f t="shared" si="0"/>
        <v>0.73034244402338766</v>
      </c>
      <c r="Q4" s="24">
        <f t="shared" si="1"/>
        <v>5.8969699042407661E-2</v>
      </c>
      <c r="R4" s="25">
        <v>1</v>
      </c>
      <c r="S4" s="26">
        <f t="shared" si="2"/>
        <v>0.1</v>
      </c>
      <c r="T4" s="27">
        <v>902.5</v>
      </c>
      <c r="U4" s="17">
        <v>0</v>
      </c>
      <c r="V4" s="17">
        <v>47.5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24">
        <v>0</v>
      </c>
    </row>
    <row r="5" spans="1:29" ht="19.5" customHeight="1" x14ac:dyDescent="0.2">
      <c r="A5" s="14" t="s">
        <v>37</v>
      </c>
      <c r="B5" s="15" t="s">
        <v>38</v>
      </c>
      <c r="C5" s="16" t="s">
        <v>31</v>
      </c>
      <c r="D5" s="28" t="s">
        <v>32</v>
      </c>
      <c r="E5" s="121">
        <f>1500/75/510</f>
        <v>3.9215686274509803E-2</v>
      </c>
      <c r="F5" s="17">
        <v>8000</v>
      </c>
      <c r="G5" s="17">
        <v>20</v>
      </c>
      <c r="H5" s="18">
        <v>0.93503400000000003</v>
      </c>
      <c r="I5" s="19">
        <v>-9.6909999999999996E-2</v>
      </c>
      <c r="J5" s="20">
        <v>1</v>
      </c>
      <c r="K5" s="20">
        <v>950</v>
      </c>
      <c r="L5" s="20">
        <v>25</v>
      </c>
      <c r="M5" s="21">
        <v>0.86299999999999999</v>
      </c>
      <c r="N5" s="22">
        <v>0.999</v>
      </c>
      <c r="O5" s="23">
        <v>1</v>
      </c>
      <c r="P5" s="23">
        <f t="shared" si="0"/>
        <v>0.73034244402338766</v>
      </c>
      <c r="Q5" s="24">
        <f t="shared" si="1"/>
        <v>3.3809294117647062E-2</v>
      </c>
      <c r="R5" s="25">
        <v>1</v>
      </c>
      <c r="S5" s="26">
        <f t="shared" si="2"/>
        <v>0.1</v>
      </c>
      <c r="T5" s="27">
        <v>902.5</v>
      </c>
      <c r="U5" s="17">
        <v>0</v>
      </c>
      <c r="V5" s="17">
        <v>47.5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24">
        <v>0</v>
      </c>
    </row>
    <row r="6" spans="1:29" ht="19.5" customHeight="1" x14ac:dyDescent="0.2">
      <c r="A6" s="14" t="s">
        <v>39</v>
      </c>
      <c r="B6" s="15" t="s">
        <v>40</v>
      </c>
      <c r="C6" s="16" t="s">
        <v>31</v>
      </c>
      <c r="D6" s="16" t="s">
        <v>41</v>
      </c>
      <c r="E6" s="121">
        <f>50*60/27.35*4/510</f>
        <v>0.86030755995268304</v>
      </c>
      <c r="F6" s="17">
        <f>1000000</f>
        <v>1000000</v>
      </c>
      <c r="G6" s="17">
        <v>20</v>
      </c>
      <c r="H6" s="18">
        <v>0.93503400000000003</v>
      </c>
      <c r="I6" s="19">
        <v>-9.6909999999999996E-2</v>
      </c>
      <c r="J6" s="20">
        <v>88.2</v>
      </c>
      <c r="K6" s="20">
        <f>SUM(T6:AC6)</f>
        <v>55208.467600000004</v>
      </c>
      <c r="L6" s="20">
        <v>300</v>
      </c>
      <c r="M6" s="21">
        <v>0.86299999999999999</v>
      </c>
      <c r="N6" s="22">
        <v>0.999</v>
      </c>
      <c r="O6" s="23">
        <v>0.9</v>
      </c>
      <c r="P6" s="23">
        <f t="shared" si="0"/>
        <v>0.73034244402338766</v>
      </c>
      <c r="Q6" s="24">
        <f t="shared" si="1"/>
        <v>0.66753268093343376</v>
      </c>
      <c r="R6" s="25">
        <v>2</v>
      </c>
      <c r="S6" s="26">
        <f t="shared" si="2"/>
        <v>0.2</v>
      </c>
      <c r="T6" s="27">
        <f>16638*2.86</f>
        <v>47584.68</v>
      </c>
      <c r="U6" s="17">
        <f>1478.5*2.86</f>
        <v>4228.51</v>
      </c>
      <c r="V6" s="17">
        <f>2.86*94.5</f>
        <v>270.27</v>
      </c>
      <c r="W6" s="17">
        <v>0</v>
      </c>
      <c r="X6" s="17">
        <f>SUM(T6:V6)*0.05</f>
        <v>2604.1730000000002</v>
      </c>
      <c r="Y6" s="17">
        <f>SUM(T6:V6)*0.01</f>
        <v>520.83460000000002</v>
      </c>
      <c r="Z6" s="17">
        <v>0</v>
      </c>
      <c r="AA6" s="17">
        <v>0</v>
      </c>
      <c r="AB6" s="17">
        <v>0</v>
      </c>
      <c r="AC6" s="24">
        <v>0</v>
      </c>
    </row>
    <row r="7" spans="1:29" ht="19.5" customHeight="1" x14ac:dyDescent="0.2">
      <c r="A7" s="14" t="s">
        <v>42</v>
      </c>
      <c r="B7" s="15" t="s">
        <v>43</v>
      </c>
      <c r="C7" s="16" t="s">
        <v>31</v>
      </c>
      <c r="D7" s="16" t="s">
        <v>41</v>
      </c>
      <c r="E7" s="121">
        <f>50*60/27.35*4/510</f>
        <v>0.86030755995268304</v>
      </c>
      <c r="F7" s="17">
        <v>1000000</v>
      </c>
      <c r="G7" s="17">
        <v>20</v>
      </c>
      <c r="H7" s="18">
        <v>0.93503400000000003</v>
      </c>
      <c r="I7" s="19">
        <v>-9.6909999999999996E-2</v>
      </c>
      <c r="J7" s="20">
        <v>88.2</v>
      </c>
      <c r="K7" s="20">
        <f>SUM(T7:AC7)</f>
        <v>55208.467600000004</v>
      </c>
      <c r="L7" s="20">
        <v>300</v>
      </c>
      <c r="M7" s="21">
        <v>0.86299999999999999</v>
      </c>
      <c r="N7" s="22">
        <v>0.999</v>
      </c>
      <c r="O7" s="23">
        <v>0.9</v>
      </c>
      <c r="P7" s="23">
        <f t="shared" si="0"/>
        <v>0.73034244402338766</v>
      </c>
      <c r="Q7" s="24">
        <f t="shared" si="1"/>
        <v>0.66753268093343376</v>
      </c>
      <c r="R7" s="25">
        <v>2</v>
      </c>
      <c r="S7" s="26">
        <f t="shared" si="2"/>
        <v>0.2</v>
      </c>
      <c r="T7" s="27">
        <f>16638*2.86</f>
        <v>47584.68</v>
      </c>
      <c r="U7" s="17">
        <f>1478.5*2.86</f>
        <v>4228.51</v>
      </c>
      <c r="V7" s="17">
        <f>2.86*94.5</f>
        <v>270.27</v>
      </c>
      <c r="W7" s="17">
        <v>0</v>
      </c>
      <c r="X7" s="17">
        <f>SUM(T7:V7)*0.05</f>
        <v>2604.1730000000002</v>
      </c>
      <c r="Y7" s="17">
        <f>SUM(T7:V7)*0.01</f>
        <v>520.83460000000002</v>
      </c>
      <c r="Z7" s="17">
        <v>0</v>
      </c>
      <c r="AA7" s="17">
        <v>0</v>
      </c>
      <c r="AB7" s="17">
        <v>0</v>
      </c>
      <c r="AC7" s="24">
        <v>0</v>
      </c>
    </row>
    <row r="8" spans="1:29" ht="19.5" customHeight="1" x14ac:dyDescent="0.2">
      <c r="A8" s="14" t="s">
        <v>44</v>
      </c>
      <c r="B8" s="15" t="s">
        <v>45</v>
      </c>
      <c r="C8" s="16" t="s">
        <v>31</v>
      </c>
      <c r="D8" s="16" t="s">
        <v>41</v>
      </c>
      <c r="E8" s="121">
        <f>72/510</f>
        <v>0.14117647058823529</v>
      </c>
      <c r="F8" s="17">
        <v>5000</v>
      </c>
      <c r="G8" s="17">
        <v>20</v>
      </c>
      <c r="H8" s="18">
        <v>0.93503400000000003</v>
      </c>
      <c r="I8" s="19">
        <v>-9.6909999999999996E-2</v>
      </c>
      <c r="J8" s="20">
        <v>10.8</v>
      </c>
      <c r="K8" s="20">
        <v>950</v>
      </c>
      <c r="L8" s="20">
        <v>21</v>
      </c>
      <c r="M8" s="21">
        <v>0.86299999999999999</v>
      </c>
      <c r="N8" s="22">
        <v>0.999</v>
      </c>
      <c r="O8" s="23">
        <v>0.99</v>
      </c>
      <c r="P8" s="23">
        <f t="shared" si="0"/>
        <v>0.73034244402338766</v>
      </c>
      <c r="Q8" s="24">
        <f t="shared" si="1"/>
        <v>0.12049632423529413</v>
      </c>
      <c r="R8" s="25">
        <v>1</v>
      </c>
      <c r="S8" s="26">
        <f t="shared" si="2"/>
        <v>0.1</v>
      </c>
      <c r="T8" s="27">
        <v>500</v>
      </c>
      <c r="U8" s="17">
        <v>400</v>
      </c>
      <c r="V8" s="17">
        <v>50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24">
        <v>0</v>
      </c>
    </row>
    <row r="9" spans="1:29" ht="18.75" customHeight="1" x14ac:dyDescent="0.2">
      <c r="A9" s="29" t="s">
        <v>46</v>
      </c>
      <c r="B9" s="30" t="s">
        <v>47</v>
      </c>
      <c r="C9" s="30" t="s">
        <v>48</v>
      </c>
      <c r="D9" s="30" t="s">
        <v>41</v>
      </c>
      <c r="E9" s="122">
        <f>120/1020</f>
        <v>0.11764705882352941</v>
      </c>
      <c r="F9" s="31">
        <v>1500000</v>
      </c>
      <c r="G9" s="31">
        <v>20</v>
      </c>
      <c r="H9" s="32">
        <v>0.93503400000000003</v>
      </c>
      <c r="I9" s="33">
        <v>-9.6909999999999996E-2</v>
      </c>
      <c r="J9" s="34">
        <v>150</v>
      </c>
      <c r="K9" s="34">
        <f>$K$6/$J$6*J9</f>
        <v>93891.951700680278</v>
      </c>
      <c r="L9" s="34">
        <v>82</v>
      </c>
      <c r="M9" s="35">
        <v>0.86299999999999999</v>
      </c>
      <c r="N9" s="36">
        <v>0.999</v>
      </c>
      <c r="O9" s="37">
        <v>0.99</v>
      </c>
      <c r="P9" s="37">
        <f>PRODUCT($O$9:$O$16)</f>
        <v>0.91076498818230145</v>
      </c>
      <c r="Q9" s="38">
        <f t="shared" si="1"/>
        <v>0.10041360352941177</v>
      </c>
      <c r="R9" s="39">
        <v>2</v>
      </c>
      <c r="S9" s="40">
        <f t="shared" si="2"/>
        <v>0.2</v>
      </c>
      <c r="T9" s="41">
        <f>K9*0.95</f>
        <v>89197.35411564626</v>
      </c>
      <c r="U9" s="31">
        <v>0</v>
      </c>
      <c r="V9" s="31">
        <f>K9*0.05</f>
        <v>4694.5975850340137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8">
        <v>0</v>
      </c>
    </row>
    <row r="10" spans="1:29" ht="19.5" customHeight="1" x14ac:dyDescent="0.2">
      <c r="A10" s="29" t="s">
        <v>49</v>
      </c>
      <c r="B10" s="42" t="s">
        <v>50</v>
      </c>
      <c r="C10" s="30" t="s">
        <v>48</v>
      </c>
      <c r="D10" s="30" t="s">
        <v>41</v>
      </c>
      <c r="E10" s="122">
        <f>120/1020</f>
        <v>0.11764705882352941</v>
      </c>
      <c r="F10" s="31">
        <v>400000</v>
      </c>
      <c r="G10" s="31">
        <v>20</v>
      </c>
      <c r="H10" s="32">
        <v>0.93503400000000003</v>
      </c>
      <c r="I10" s="33">
        <v>-9.6909999999999996E-2</v>
      </c>
      <c r="J10" s="43">
        <v>45</v>
      </c>
      <c r="K10" s="34">
        <f>$K$6/$J$6*J10</f>
        <v>28167.58551020408</v>
      </c>
      <c r="L10" s="34">
        <v>120</v>
      </c>
      <c r="M10" s="35">
        <v>0.86299999999999999</v>
      </c>
      <c r="N10" s="36">
        <v>0.999</v>
      </c>
      <c r="O10" s="37">
        <v>0.999</v>
      </c>
      <c r="P10" s="37">
        <f>PRODUCT($O$9:$O$16)</f>
        <v>0.91076498818230145</v>
      </c>
      <c r="Q10" s="38">
        <f t="shared" si="1"/>
        <v>0.10132645447058823</v>
      </c>
      <c r="R10" s="39">
        <v>2</v>
      </c>
      <c r="S10" s="40">
        <f t="shared" si="2"/>
        <v>0.2</v>
      </c>
      <c r="T10" s="41">
        <f>K10*0.85</f>
        <v>23942.447683673468</v>
      </c>
      <c r="U10" s="31">
        <f>K10*0.02</f>
        <v>563.35171020408166</v>
      </c>
      <c r="V10" s="31">
        <f>K10*0.08</f>
        <v>2253.4068408163266</v>
      </c>
      <c r="W10" s="31">
        <v>0</v>
      </c>
      <c r="X10" s="31">
        <v>0</v>
      </c>
      <c r="Y10" s="31">
        <f>0.01*K10</f>
        <v>281.67585510204083</v>
      </c>
      <c r="Z10" s="31">
        <v>0</v>
      </c>
      <c r="AA10" s="31">
        <f>0.02*K10</f>
        <v>563.35171020408166</v>
      </c>
      <c r="AB10" s="31">
        <v>0</v>
      </c>
      <c r="AC10" s="38">
        <f>0.02*K10</f>
        <v>563.35171020408166</v>
      </c>
    </row>
    <row r="11" spans="1:29" ht="19.5" customHeight="1" x14ac:dyDescent="0.2">
      <c r="A11" s="29" t="s">
        <v>51</v>
      </c>
      <c r="B11" s="42" t="s">
        <v>52</v>
      </c>
      <c r="C11" s="30" t="s">
        <v>48</v>
      </c>
      <c r="D11" s="30" t="s">
        <v>41</v>
      </c>
      <c r="E11" s="122">
        <f>E8/2</f>
        <v>7.0588235294117646E-2</v>
      </c>
      <c r="F11" s="31">
        <f>F8</f>
        <v>5000</v>
      </c>
      <c r="G11" s="31">
        <v>20</v>
      </c>
      <c r="H11" s="32">
        <v>0.93503400000000003</v>
      </c>
      <c r="I11" s="33">
        <v>-9.6909999999999996E-2</v>
      </c>
      <c r="J11" s="43">
        <f>J8</f>
        <v>10.8</v>
      </c>
      <c r="K11" s="34">
        <f>K8</f>
        <v>950</v>
      </c>
      <c r="L11" s="34">
        <f>L8</f>
        <v>21</v>
      </c>
      <c r="M11" s="35">
        <v>0.86299999999999999</v>
      </c>
      <c r="N11" s="36">
        <f>N8</f>
        <v>0.999</v>
      </c>
      <c r="O11" s="37">
        <v>0.99</v>
      </c>
      <c r="P11" s="37">
        <f>PRODUCT($O$9:$O$16)</f>
        <v>0.91076498818230145</v>
      </c>
      <c r="Q11" s="38">
        <f t="shared" si="1"/>
        <v>6.0248162117647067E-2</v>
      </c>
      <c r="R11" s="39">
        <f>R8</f>
        <v>1</v>
      </c>
      <c r="S11" s="40">
        <f t="shared" si="2"/>
        <v>0.1</v>
      </c>
      <c r="T11" s="41">
        <f>T8</f>
        <v>500</v>
      </c>
      <c r="U11" s="31">
        <f>U8</f>
        <v>400</v>
      </c>
      <c r="V11" s="31">
        <f>V8</f>
        <v>50</v>
      </c>
      <c r="W11" s="31">
        <f>W8</f>
        <v>0</v>
      </c>
      <c r="X11" s="31">
        <v>0</v>
      </c>
      <c r="Y11" s="31">
        <f>Y8</f>
        <v>0</v>
      </c>
      <c r="Z11" s="31">
        <v>0</v>
      </c>
      <c r="AA11" s="31">
        <f>AA8</f>
        <v>0</v>
      </c>
      <c r="AB11" s="31">
        <f>AB8</f>
        <v>0</v>
      </c>
      <c r="AC11" s="38">
        <f>AC8</f>
        <v>0</v>
      </c>
    </row>
    <row r="12" spans="1:29" ht="18.75" customHeight="1" x14ac:dyDescent="0.2">
      <c r="A12" s="44" t="s">
        <v>53</v>
      </c>
      <c r="B12" s="45" t="s">
        <v>54</v>
      </c>
      <c r="C12" s="45" t="s">
        <v>55</v>
      </c>
      <c r="D12" s="45" t="s">
        <v>41</v>
      </c>
      <c r="E12" s="123">
        <f>120/510</f>
        <v>0.23529411764705882</v>
      </c>
      <c r="F12" s="46">
        <v>700000</v>
      </c>
      <c r="G12" s="46">
        <v>20</v>
      </c>
      <c r="H12" s="47">
        <v>0.93503400000000003</v>
      </c>
      <c r="I12" s="48">
        <v>-9.6909999999999996E-2</v>
      </c>
      <c r="J12" s="49">
        <v>100</v>
      </c>
      <c r="K12" s="49">
        <f>K9*2/3</f>
        <v>62594.634467120188</v>
      </c>
      <c r="L12" s="49">
        <v>40</v>
      </c>
      <c r="M12" s="50">
        <v>0.86299999999999999</v>
      </c>
      <c r="N12" s="51">
        <v>0.999</v>
      </c>
      <c r="O12" s="52">
        <v>0.99</v>
      </c>
      <c r="P12" s="52">
        <f>PRODUCT(O12:O16)</f>
        <v>0.93018739398749994</v>
      </c>
      <c r="Q12" s="53">
        <f t="shared" si="1"/>
        <v>0.20082720705882354</v>
      </c>
      <c r="R12" s="54">
        <v>2</v>
      </c>
      <c r="S12" s="55">
        <f t="shared" si="2"/>
        <v>0.2</v>
      </c>
      <c r="T12" s="56">
        <f>K12*0.85</f>
        <v>53205.439297052159</v>
      </c>
      <c r="U12" s="46">
        <f>K12*0.02</f>
        <v>1251.8926893424039</v>
      </c>
      <c r="V12" s="46">
        <f>K12*0.08</f>
        <v>5007.5707573696154</v>
      </c>
      <c r="W12" s="46">
        <v>0</v>
      </c>
      <c r="X12" s="46">
        <f>AA12</f>
        <v>625.94634467120193</v>
      </c>
      <c r="Y12" s="46">
        <f>0.01*K12</f>
        <v>625.94634467120193</v>
      </c>
      <c r="Z12" s="46">
        <v>-1</v>
      </c>
      <c r="AA12" s="46">
        <f>0.02*K12/2</f>
        <v>625.94634467120193</v>
      </c>
      <c r="AB12" s="46">
        <v>-1</v>
      </c>
      <c r="AC12" s="53">
        <f>0.02*K12</f>
        <v>1251.8926893424039</v>
      </c>
    </row>
    <row r="13" spans="1:29" ht="18.75" customHeight="1" x14ac:dyDescent="0.2">
      <c r="A13" s="57" t="s">
        <v>56</v>
      </c>
      <c r="B13" s="58" t="s">
        <v>57</v>
      </c>
      <c r="C13" s="58" t="s">
        <v>58</v>
      </c>
      <c r="D13" s="58" t="s">
        <v>41</v>
      </c>
      <c r="E13" s="124">
        <f>660/510</f>
        <v>1.2941176470588236</v>
      </c>
      <c r="F13" s="59">
        <f>1500000</f>
        <v>1500000</v>
      </c>
      <c r="G13" s="59">
        <v>20</v>
      </c>
      <c r="H13" s="60">
        <v>0.93503400000000003</v>
      </c>
      <c r="I13" s="61">
        <v>-9.6909999999999996E-2</v>
      </c>
      <c r="J13" s="62">
        <v>100</v>
      </c>
      <c r="K13" s="62">
        <f>K9*2/3</f>
        <v>62594.634467120188</v>
      </c>
      <c r="L13" s="62">
        <f>L9*2/3</f>
        <v>54.666666666666664</v>
      </c>
      <c r="M13" s="63">
        <v>0.86299999999999999</v>
      </c>
      <c r="N13" s="64">
        <f>N9</f>
        <v>0.999</v>
      </c>
      <c r="O13" s="65">
        <v>0.95</v>
      </c>
      <c r="P13" s="65">
        <f>PRODUCT($O$13:$O$16)</f>
        <v>0.9395832262499999</v>
      </c>
      <c r="Q13" s="66">
        <f t="shared" si="1"/>
        <v>1.0599213705882353</v>
      </c>
      <c r="R13" s="67">
        <f>R9</f>
        <v>2</v>
      </c>
      <c r="S13" s="68">
        <f t="shared" si="2"/>
        <v>0.2</v>
      </c>
      <c r="T13" s="69">
        <f>K13*0.85</f>
        <v>53205.439297052159</v>
      </c>
      <c r="U13" s="70">
        <f>K13*0.02</f>
        <v>1251.8926893424039</v>
      </c>
      <c r="V13" s="70">
        <f>K13*0.08</f>
        <v>5007.5707573696154</v>
      </c>
      <c r="W13" s="70">
        <v>0</v>
      </c>
      <c r="X13" s="70">
        <f>AA13</f>
        <v>625.94634467120193</v>
      </c>
      <c r="Y13" s="70">
        <f>0.01*K13</f>
        <v>625.94634467120193</v>
      </c>
      <c r="Z13" s="70">
        <v>0</v>
      </c>
      <c r="AA13" s="70">
        <f>0.02*K13/2</f>
        <v>625.94634467120193</v>
      </c>
      <c r="AB13" s="70">
        <v>0</v>
      </c>
      <c r="AC13" s="71">
        <f>0.02*K13</f>
        <v>1251.8926893424039</v>
      </c>
    </row>
    <row r="14" spans="1:29" ht="18.75" customHeight="1" x14ac:dyDescent="0.2">
      <c r="A14" s="57" t="s">
        <v>49</v>
      </c>
      <c r="B14" s="58" t="s">
        <v>49</v>
      </c>
      <c r="C14" s="58" t="s">
        <v>58</v>
      </c>
      <c r="D14" s="58" t="s">
        <v>41</v>
      </c>
      <c r="E14" s="124">
        <f>E10</f>
        <v>0.11764705882352941</v>
      </c>
      <c r="F14" s="59">
        <f>F10</f>
        <v>400000</v>
      </c>
      <c r="G14" s="59">
        <v>20</v>
      </c>
      <c r="H14" s="60">
        <v>0.93503400000000003</v>
      </c>
      <c r="I14" s="61">
        <v>-9.6909999999999996E-2</v>
      </c>
      <c r="J14" s="62">
        <f>J10</f>
        <v>45</v>
      </c>
      <c r="K14" s="62">
        <f>K10</f>
        <v>28167.58551020408</v>
      </c>
      <c r="L14" s="62">
        <f>L10</f>
        <v>120</v>
      </c>
      <c r="M14" s="63">
        <v>0.86299999999999999</v>
      </c>
      <c r="N14" s="64">
        <f>N10</f>
        <v>0.999</v>
      </c>
      <c r="O14" s="65">
        <f>O10</f>
        <v>0.999</v>
      </c>
      <c r="P14" s="65">
        <f>PRODUCT($O$13:$O$16)</f>
        <v>0.9395832262499999</v>
      </c>
      <c r="Q14" s="66">
        <f t="shared" si="1"/>
        <v>0.10132645447058823</v>
      </c>
      <c r="R14" s="67">
        <f>R10</f>
        <v>2</v>
      </c>
      <c r="S14" s="68">
        <f t="shared" si="2"/>
        <v>0.2</v>
      </c>
      <c r="T14" s="69">
        <f>K14*0.85</f>
        <v>23942.447683673468</v>
      </c>
      <c r="U14" s="70">
        <f>K14*0.02</f>
        <v>563.35171020408166</v>
      </c>
      <c r="V14" s="70">
        <f>K14*0.08</f>
        <v>2253.4068408163266</v>
      </c>
      <c r="W14" s="70">
        <v>0</v>
      </c>
      <c r="X14" s="70">
        <f>AA14</f>
        <v>281.67585510204083</v>
      </c>
      <c r="Y14" s="70">
        <f>0.01*K14</f>
        <v>281.67585510204083</v>
      </c>
      <c r="Z14" s="70">
        <v>0</v>
      </c>
      <c r="AA14" s="70">
        <f>0.01*K14</f>
        <v>281.67585510204083</v>
      </c>
      <c r="AB14" s="70">
        <v>0</v>
      </c>
      <c r="AC14" s="71">
        <f>0.02*K14</f>
        <v>563.35171020408166</v>
      </c>
    </row>
    <row r="15" spans="1:29" ht="18.75" customHeight="1" x14ac:dyDescent="0.2">
      <c r="A15" s="72" t="s">
        <v>59</v>
      </c>
      <c r="B15" s="73" t="s">
        <v>60</v>
      </c>
      <c r="C15" s="73" t="s">
        <v>61</v>
      </c>
      <c r="D15" s="73" t="s">
        <v>41</v>
      </c>
      <c r="E15" s="125">
        <f>120/510</f>
        <v>0.23529411764705882</v>
      </c>
      <c r="F15" s="74">
        <v>500000</v>
      </c>
      <c r="G15" s="74">
        <v>20</v>
      </c>
      <c r="H15" s="75">
        <v>0.93503400000000003</v>
      </c>
      <c r="I15" s="76">
        <v>-9.6909999999999996E-2</v>
      </c>
      <c r="J15" s="77">
        <v>50</v>
      </c>
      <c r="K15" s="77">
        <f>K9/3</f>
        <v>31297.317233560094</v>
      </c>
      <c r="L15" s="77">
        <v>115</v>
      </c>
      <c r="M15" s="78">
        <v>0.86299999999999999</v>
      </c>
      <c r="N15" s="79">
        <v>0.999</v>
      </c>
      <c r="O15" s="80">
        <v>0.995</v>
      </c>
      <c r="P15" s="80">
        <f>PRODUCT(O15:O16)</f>
        <v>0.99002500000000004</v>
      </c>
      <c r="Q15" s="81">
        <f t="shared" si="1"/>
        <v>0.20184148588235296</v>
      </c>
      <c r="R15" s="82">
        <v>2</v>
      </c>
      <c r="S15" s="83">
        <f t="shared" si="2"/>
        <v>0.2</v>
      </c>
      <c r="T15" s="84">
        <f>K15*0.85</f>
        <v>26602.719648526079</v>
      </c>
      <c r="U15" s="74">
        <f>K15*0.02</f>
        <v>625.94634467120193</v>
      </c>
      <c r="V15" s="74">
        <f>K15*0.08</f>
        <v>2503.7853786848077</v>
      </c>
      <c r="W15" s="74">
        <v>0</v>
      </c>
      <c r="X15" s="74">
        <f>AA15</f>
        <v>312.97317233560096</v>
      </c>
      <c r="Y15" s="74">
        <f>0.01*K15</f>
        <v>312.97317233560096</v>
      </c>
      <c r="Z15" s="74">
        <v>0</v>
      </c>
      <c r="AA15" s="74">
        <f>0.01*K15</f>
        <v>312.97317233560096</v>
      </c>
      <c r="AB15" s="74">
        <v>0</v>
      </c>
      <c r="AC15" s="81">
        <f>0.02*K15</f>
        <v>625.94634467120193</v>
      </c>
    </row>
    <row r="16" spans="1:29" ht="18.75" customHeight="1" x14ac:dyDescent="0.2">
      <c r="A16" s="85" t="s">
        <v>62</v>
      </c>
      <c r="B16" s="86" t="s">
        <v>63</v>
      </c>
      <c r="C16" s="86" t="s">
        <v>61</v>
      </c>
      <c r="D16" s="86" t="s">
        <v>41</v>
      </c>
      <c r="E16" s="126">
        <f>2.76*60/510</f>
        <v>0.32470588235294118</v>
      </c>
      <c r="F16" s="87">
        <v>1500000</v>
      </c>
      <c r="G16" s="87">
        <v>20</v>
      </c>
      <c r="H16" s="88">
        <v>0.93503400000000003</v>
      </c>
      <c r="I16" s="89">
        <v>-9.6909999999999996E-2</v>
      </c>
      <c r="J16" s="90">
        <v>100</v>
      </c>
      <c r="K16" s="90">
        <f>K15*2</f>
        <v>62594.634467120188</v>
      </c>
      <c r="L16" s="90">
        <v>34</v>
      </c>
      <c r="M16" s="91">
        <v>0.86299999999999999</v>
      </c>
      <c r="N16" s="92">
        <v>0.999</v>
      </c>
      <c r="O16" s="93">
        <v>0.995</v>
      </c>
      <c r="P16" s="93">
        <f>PRODUCT(O15:O16)</f>
        <v>0.99002500000000004</v>
      </c>
      <c r="Q16" s="94">
        <f t="shared" si="1"/>
        <v>0.27854125051764705</v>
      </c>
      <c r="R16" s="95">
        <v>0</v>
      </c>
      <c r="S16" s="96">
        <f t="shared" si="2"/>
        <v>0</v>
      </c>
      <c r="T16" s="97">
        <f>K16*0.85</f>
        <v>53205.439297052159</v>
      </c>
      <c r="U16" s="87">
        <f>K16*0.02</f>
        <v>1251.8926893424039</v>
      </c>
      <c r="V16" s="87">
        <f>K16*0.08</f>
        <v>5007.5707573696154</v>
      </c>
      <c r="W16" s="87">
        <v>0</v>
      </c>
      <c r="X16" s="87">
        <f>AA16</f>
        <v>625.94634467120193</v>
      </c>
      <c r="Y16" s="87">
        <f>0.01*K16</f>
        <v>625.94634467120193</v>
      </c>
      <c r="Z16" s="87">
        <v>0</v>
      </c>
      <c r="AA16" s="87">
        <f>0.01*K16</f>
        <v>625.94634467120193</v>
      </c>
      <c r="AB16" s="87">
        <v>0</v>
      </c>
      <c r="AC16" s="94">
        <f>0.02*K16</f>
        <v>1251.8926893424039</v>
      </c>
    </row>
    <row r="17" spans="1:29" ht="18.75" customHeight="1" x14ac:dyDescent="0.2">
      <c r="A17" s="98"/>
      <c r="B17" s="98"/>
      <c r="C17" s="98"/>
      <c r="D17" s="98"/>
      <c r="E17" s="99"/>
      <c r="F17" s="99"/>
      <c r="G17" s="99"/>
      <c r="H17" s="100"/>
      <c r="I17" s="101"/>
      <c r="J17" s="102"/>
      <c r="K17" s="102"/>
      <c r="L17" s="102"/>
      <c r="M17" s="103"/>
      <c r="N17" s="104"/>
      <c r="O17" s="104"/>
      <c r="Q17" s="99"/>
      <c r="R17" s="99"/>
      <c r="S17" s="99"/>
      <c r="T17" s="99"/>
      <c r="U17" s="99"/>
      <c r="V17" s="99"/>
      <c r="W17" s="99"/>
      <c r="X17" s="99"/>
      <c r="Y17" s="99"/>
      <c r="Z17" s="105"/>
      <c r="AA17" s="105"/>
      <c r="AB17" s="105"/>
      <c r="AC17" s="105"/>
    </row>
    <row r="18" spans="1:29" ht="18.75" customHeight="1" x14ac:dyDescent="0.2">
      <c r="E18" s="105"/>
      <c r="F18" s="105"/>
      <c r="G18" s="105"/>
      <c r="H18" s="106"/>
      <c r="I18" s="107"/>
      <c r="J18" s="108"/>
      <c r="K18" s="108"/>
      <c r="L18" s="108"/>
      <c r="M18" s="109"/>
      <c r="N18" s="104"/>
      <c r="O18" s="104"/>
      <c r="Q18" s="105"/>
      <c r="R18" s="110"/>
      <c r="S18" s="110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</row>
    <row r="19" spans="1:29" ht="18.75" customHeight="1" x14ac:dyDescent="0.2">
      <c r="E19" s="105"/>
      <c r="F19" s="105"/>
      <c r="G19" s="105"/>
      <c r="H19" s="106"/>
      <c r="I19" s="107"/>
      <c r="J19" s="108"/>
      <c r="K19" s="108"/>
      <c r="L19" s="108"/>
      <c r="M19" s="109"/>
      <c r="N19" s="104"/>
      <c r="O19" s="104"/>
      <c r="Q19" s="105"/>
      <c r="R19" s="110"/>
      <c r="S19" s="110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</row>
    <row r="20" spans="1:29" ht="18.75" customHeight="1" x14ac:dyDescent="0.2">
      <c r="E20" s="105"/>
      <c r="F20" s="105"/>
      <c r="G20" s="105"/>
      <c r="H20" s="106"/>
      <c r="I20" s="107"/>
      <c r="J20" s="108"/>
      <c r="K20" s="108"/>
      <c r="L20" s="108"/>
      <c r="M20" s="109"/>
      <c r="N20" s="104"/>
      <c r="O20" s="104"/>
      <c r="Q20" s="105"/>
      <c r="R20" s="110"/>
      <c r="S20" s="110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</row>
    <row r="21" spans="1:29" ht="18.75" customHeight="1" x14ac:dyDescent="0.2">
      <c r="E21" s="105"/>
      <c r="F21" s="105"/>
      <c r="G21" s="105"/>
      <c r="H21" s="106"/>
      <c r="I21" s="107"/>
      <c r="J21" s="108"/>
      <c r="K21" s="108"/>
      <c r="L21" s="108"/>
      <c r="M21" s="109"/>
      <c r="N21" s="111"/>
      <c r="O21" s="104"/>
      <c r="Q21" s="105"/>
      <c r="R21" s="110"/>
      <c r="S21" s="110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 Zhao</cp:lastModifiedBy>
  <dcterms:created xsi:type="dcterms:W3CDTF">2024-02-29T11:24:17Z</dcterms:created>
  <dcterms:modified xsi:type="dcterms:W3CDTF">2024-02-29T15:29:05Z</dcterms:modified>
</cp:coreProperties>
</file>