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Spring 2016\IT_Finance\Project\Implied Volatility\ImplicitVolatilityExample\"/>
    </mc:Choice>
  </mc:AlternateContent>
  <bookViews>
    <workbookView xWindow="0" yWindow="0" windowWidth="23670" windowHeight="8400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l="1"/>
  <c r="L3" i="1"/>
  <c r="L26" i="1" l="1"/>
  <c r="K26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<sst xmlns="http://schemas.openxmlformats.org/spreadsheetml/2006/main" count="90" uniqueCount="49">
  <si>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</si>
  <si>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</si>
  <si>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</si>
  <si>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</si>
  <si>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</si>
  <si>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</si>
  <si>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</si>
  <si>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</si>
  <si>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</si>
  <si>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>AAPL_CJULA</t>
  </si>
  <si>
    <t xml:space="preserve">Call      </t>
  </si>
  <si>
    <t xml:space="preserve">AAPL      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</si>
  <si>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</si>
  <si>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</si>
  <si>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</si>
  <si>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</si>
  <si>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</si>
  <si>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</si>
  <si>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</si>
  <si>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</si>
  <si>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</si>
  <si>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</si>
  <si>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 xml:space="preserve">Put       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</si>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</sst>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4" fillId="7" borderId="1" xfId="1" applyFont="1" applyFill="1" applyBorder="1"/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771525</xdr:colOff>
          <xdr:row>26</xdr:row>
          <xdr:rowOff>95250</xdr:rowOff>
        </xdr:from>
        <xdr:to>
          <xdr:col>18</xdr:col>
          <xdr:colOff>0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2:I22" totalsRowShown="0" headerRowDxfId="35" dataDxfId="34" tableBorderDxfId="33">
  <autoFilter ref="B2:I22"/>
  <tableColumns count="8">
    <tableColumn id="1" name="Date" dataDxfId="32"/>
    <tableColumn id="2" name="Symbol" dataDxfId="31"/>
    <tableColumn id="3" name="Bid" dataDxfId="30" dataCellStyle="Currency"/>
    <tableColumn id="4" name="Ask" dataDxfId="29" dataCellStyle="Currency"/>
    <tableColumn id="5" name="Strike" dataDxfId="28" dataCellStyle="Currency"/>
    <tableColumn id="6" name="Expiration" dataDxfId="27"/>
    <tableColumn id="7" name="Type" dataDxfId="26"/>
    <tableColumn id="8" name="Underlier" dataDxfId="2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26" totalsRowShown="0" headerRowDxfId="24" dataDxfId="23" tableBorderDxfId="22">
  <autoFilter ref="B25:G26"/>
  <tableColumns count="6">
    <tableColumn id="1" name="Date" dataDxfId="21"/>
    <tableColumn id="2" name="Ticker" dataDxfId="20"/>
    <tableColumn id="3" name="Bid" dataDxfId="19" dataCellStyle="Currency"/>
    <tableColumn id="4" name="Ask" dataDxfId="18" dataCellStyle="Currency"/>
    <tableColumn id="5" name="DivDate" dataDxfId="17" dataCellStyle="Currency"/>
    <tableColumn id="6" name="Dividend" dataDxfId="1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2:K22" totalsRowShown="0" headerRowDxfId="15" dataDxfId="14" tableBorderDxfId="13">
  <autoFilter ref="K2:K22"/>
  <tableColumns count="1">
    <tableColumn id="1" name="Volatility" dataDxfId="12">
      <calculatedColumnFormula>$G$28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L2:R22" totalsRowShown="0" headerRowDxfId="11" dataDxfId="10" tableBorderDxfId="9">
  <autoFilter ref="L2:R22"/>
  <tableColumns count="7">
    <tableColumn id="1" name="mtm" dataDxfId="8" dataCellStyle="Currency">
      <calculatedColumnFormula>(Table2[[#This Row],[Bid]]+Table2[[#This Row],[Ask]])/2</calculatedColumnFormula>
    </tableColumn>
    <tableColumn id="2" name="t" dataDxfId="7">
      <calculatedColumnFormula>(Table2[[#This Row],[Expiration]]-Table2[[#This Row],[Date]])/365.25</calculatedColumnFormula>
    </tableColumn>
    <tableColumn id="3" name="d1" dataDxfId="6">
      <calculatedColumnFormula>(LN($L$26/Table2[[#This Row],[Strike]])+($C$28+Table4[[#This Row],[Volatility]]^2/2)*M3)/(Table4[[#This Row],[Volatility]]*SQRT(M3))</calculatedColumnFormula>
    </tableColumn>
    <tableColumn id="4" name="d2" dataDxfId="5">
      <calculatedColumnFormula>N3-Table4[[#This Row],[Volatility]]*SQRT(M3)</calculatedColumnFormula>
    </tableColumn>
    <tableColumn id="5" name="Call price" dataDxfId="4" dataCellStyle="Currency"/>
    <tableColumn id="6" name="PutPrice" dataDxfId="3" dataCellStyle="Currency">
      <calculatedColumnFormula>-$L$26*_xlfn.NORM.S.DIST(-N3,TRUE)+Table2[[#This Row],[Strike]]*EXP(-$C$28*M3)*_xlfn.NORM.S.DIST(-O3, TRUE)</calculatedColumnFormula>
    </tableColumn>
    <tableColumn id="7" name="Difference" dataDxfId="2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4.xml"/><Relationship Id="rId5" Type="http://schemas.openxmlformats.org/officeDocument/2006/relationships/image" Target="../media/image1.emf"/><Relationship Id="rId10" Type="http://schemas.openxmlformats.org/officeDocument/2006/relationships/table" Target="../tables/table3.xml"/><Relationship Id="rId4" Type="http://schemas.openxmlformats.org/officeDocument/2006/relationships/control" Target="../activeX/activeX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8"/>
  <sheetViews>
    <sheetView tabSelected="1" topLeftCell="A10" zoomScaleNormal="100" workbookViewId="0">
      <selection activeCell="H28" sqref="H28"/>
    </sheetView>
  </sheetViews>
  <sheetFormatPr defaultRowHeight="15.75" x14ac:dyDescent="0.25"/>
  <cols>
    <col min="1" max="1" width="4.42578125" style="1" customWidth="1"/>
    <col min="2" max="2" width="11.28515625" style="17" customWidth="1"/>
    <col min="3" max="3" width="14.42578125" style="1" customWidth="1"/>
    <col min="4" max="4" width="11.28515625" style="14" customWidth="1"/>
    <col min="5" max="5" width="9.85546875" style="14" bestFit="1" customWidth="1"/>
    <col min="6" max="6" width="8.85546875" style="18" customWidth="1"/>
    <col min="7" max="7" width="12.28515625" style="17" customWidth="1"/>
    <col min="8" max="8" width="7.5703125" style="35" customWidth="1"/>
    <col min="9" max="9" width="10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6384" width="9.140625" style="1"/>
  </cols>
  <sheetData>
    <row r="1" spans="1:19" x14ac:dyDescent="0.25">
      <c r="B1" s="2"/>
      <c r="C1" s="3"/>
      <c r="D1" s="4"/>
      <c r="E1" s="4"/>
      <c r="F1" s="5"/>
      <c r="G1" s="2"/>
      <c r="H1" s="32"/>
      <c r="I1" s="32"/>
      <c r="K1" s="45" t="s">
        <v>47</v>
      </c>
      <c r="L1" s="4"/>
      <c r="M1" s="22"/>
      <c r="N1" s="26"/>
      <c r="O1" s="26"/>
      <c r="P1" s="47" t="s">
        <v>45</v>
      </c>
      <c r="Q1" s="48"/>
      <c r="R1" s="4"/>
    </row>
    <row r="2" spans="1:19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38</v>
      </c>
      <c r="L2" s="20" t="s">
        <v>35</v>
      </c>
      <c r="M2" s="23" t="s">
        <v>39</v>
      </c>
      <c r="N2" s="27" t="s">
        <v>36</v>
      </c>
      <c r="O2" s="27" t="s">
        <v>37</v>
      </c>
      <c r="P2" s="20" t="s">
        <v>40</v>
      </c>
      <c r="Q2" s="20" t="s">
        <v>41</v>
      </c>
      <c r="R2" s="20" t="s">
        <v>42</v>
      </c>
      <c r="S2" s="9"/>
    </row>
    <row r="3" spans="1:19" x14ac:dyDescent="0.25">
      <c r="A3" s="6"/>
      <c r="B3" s="19">
        <v>40301</v>
      </c>
      <c r="C3" s="7" t="s">
        <v>9</v>
      </c>
      <c r="D3" s="20">
        <v>22.66</v>
      </c>
      <c r="E3" s="20">
        <v>22.78</v>
      </c>
      <c r="F3" s="21">
        <v>209</v>
      </c>
      <c r="G3" s="19">
        <v>40375</v>
      </c>
      <c r="H3" s="33" t="s">
        <v>10</v>
      </c>
      <c r="I3" s="33" t="s">
        <v>11</v>
      </c>
      <c r="J3" s="8"/>
      <c r="K3" s="39">
        <f t="shared" ref="K3:K22" si="0">$G$28</f>
        <v>0.21</v>
      </c>
      <c r="L3" s="20">
        <f>(Table2[[#This Row],[Bid]]+Table2[[#This Row],[Ask]])/2</f>
        <v>22.72</v>
      </c>
      <c r="M3" s="23">
        <f>(Table2[[#This Row],[Expiration]]-Table2[[#This Row],[Date]])/365.25</f>
        <v>0.20260095824777549</v>
      </c>
      <c r="N3" s="27">
        <f>(LN($L$26/Table2[[#This Row],[Strike]])+($C$28+Table4[[#This Row],[Volatility]]^2/2)*M3)/(Table4[[#This Row],[Volatility]]*SQRT(M3))</f>
        <v>0.94621355588934142</v>
      </c>
      <c r="O3" s="27">
        <f>N3-Table4[[#This Row],[Volatility]]*SQRT(M3)</f>
        <v>0.85169000190025945</v>
      </c>
      <c r="P3" s="20">
        <f>$L$26*_xlfn.NORM.S.DIST(N3,TRUE)-Table2[[#This Row],[Strike]]*EXP(-$C$28*M3)*_xlfn.NORM.S.DIST(O3, TRUE)</f>
        <v>20.566543707823257</v>
      </c>
      <c r="Q3" s="20"/>
      <c r="R3" s="20">
        <f>ABS(P3-L3)</f>
        <v>2.1534562921767417</v>
      </c>
      <c r="S3" s="9"/>
    </row>
    <row r="4" spans="1:19" x14ac:dyDescent="0.25">
      <c r="A4" s="6"/>
      <c r="B4" s="19">
        <v>40301</v>
      </c>
      <c r="C4" s="7" t="s">
        <v>12</v>
      </c>
      <c r="D4" s="20">
        <v>16</v>
      </c>
      <c r="E4" s="20">
        <v>16.07</v>
      </c>
      <c r="F4" s="21">
        <v>219</v>
      </c>
      <c r="G4" s="19">
        <v>40375</v>
      </c>
      <c r="H4" s="33" t="s">
        <v>10</v>
      </c>
      <c r="I4" s="33" t="s">
        <v>11</v>
      </c>
      <c r="J4" s="8"/>
      <c r="K4" s="39">
        <f t="shared" si="0"/>
        <v>0.21</v>
      </c>
      <c r="L4" s="20">
        <f>(Table2[[#This Row],[Bid]]+Table2[[#This Row],[Ask]])/2</f>
        <v>16.035</v>
      </c>
      <c r="M4" s="23">
        <f>(Table2[[#This Row],[Expiration]]-Table2[[#This Row],[Date]])/365.25</f>
        <v>0.20260095824777549</v>
      </c>
      <c r="N4" s="27">
        <f>(LN($L$26/Table2[[#This Row],[Strike]])+($C$28+Table4[[#This Row],[Volatility]]^2/2)*M4)/(Table4[[#This Row],[Volatility]]*SQRT(M4))</f>
        <v>0.45176031244603704</v>
      </c>
      <c r="O4" s="27">
        <f>N4-Table4[[#This Row],[Volatility]]*SQRT(M4)</f>
        <v>0.35723675845695502</v>
      </c>
      <c r="P4" s="20">
        <f>$L$26*_xlfn.NORM.S.DIST(N4,TRUE)-Table2[[#This Row],[Strike]]*EXP(-$C$28*M4)*_xlfn.NORM.S.DIST(O4, TRUE)</f>
        <v>13.335562848031998</v>
      </c>
      <c r="Q4" s="20"/>
      <c r="R4" s="20">
        <f t="shared" ref="R4:R12" si="1">ABS(P4-L4)</f>
        <v>2.6994371519680023</v>
      </c>
      <c r="S4" s="9"/>
    </row>
    <row r="5" spans="1:19" x14ac:dyDescent="0.25">
      <c r="A5" s="6"/>
      <c r="B5" s="19">
        <v>40301</v>
      </c>
      <c r="C5" s="7" t="s">
        <v>13</v>
      </c>
      <c r="D5" s="20">
        <v>10.76</v>
      </c>
      <c r="E5" s="20">
        <v>10.85</v>
      </c>
      <c r="F5" s="21">
        <v>229</v>
      </c>
      <c r="G5" s="19">
        <v>40375</v>
      </c>
      <c r="H5" s="33" t="s">
        <v>10</v>
      </c>
      <c r="I5" s="33" t="s">
        <v>11</v>
      </c>
      <c r="J5" s="8"/>
      <c r="K5" s="39">
        <f t="shared" si="0"/>
        <v>0.21</v>
      </c>
      <c r="L5" s="20">
        <f>(Table2[[#This Row],[Bid]]+Table2[[#This Row],[Ask]])/2</f>
        <v>10.805</v>
      </c>
      <c r="M5" s="23">
        <f>(Table2[[#This Row],[Expiration]]-Table2[[#This Row],[Date]])/365.25</f>
        <v>0.20260095824777549</v>
      </c>
      <c r="N5" s="27">
        <f>(LN($L$26/Table2[[#This Row],[Strike]])+($C$28+Table4[[#This Row],[Volatility]]^2/2)*M5)/(Table4[[#This Row],[Volatility]]*SQRT(M5))</f>
        <v>-2.0611618711948609E-2</v>
      </c>
      <c r="O5" s="27">
        <f>N5-Table4[[#This Row],[Volatility]]*SQRT(M5)</f>
        <v>-0.1151351727010306</v>
      </c>
      <c r="P5" s="20">
        <f>$L$26*_xlfn.NORM.S.DIST(N5,TRUE)-Table2[[#This Row],[Strike]]*EXP(-$C$28*M5)*_xlfn.NORM.S.DIST(O5, TRUE)</f>
        <v>7.8762317328174873</v>
      </c>
      <c r="Q5" s="20"/>
      <c r="R5" s="20">
        <f t="shared" si="1"/>
        <v>2.9287682671825124</v>
      </c>
      <c r="S5" s="9"/>
    </row>
    <row r="6" spans="1:19" x14ac:dyDescent="0.25">
      <c r="A6" s="6"/>
      <c r="B6" s="19">
        <v>40301</v>
      </c>
      <c r="C6" s="7" t="s">
        <v>14</v>
      </c>
      <c r="D6" s="20">
        <v>6.93</v>
      </c>
      <c r="E6" s="20">
        <v>6.96</v>
      </c>
      <c r="F6" s="21">
        <v>239</v>
      </c>
      <c r="G6" s="19">
        <v>40375</v>
      </c>
      <c r="H6" s="33" t="s">
        <v>10</v>
      </c>
      <c r="I6" s="33" t="s">
        <v>11</v>
      </c>
      <c r="J6" s="8"/>
      <c r="K6" s="39">
        <f t="shared" si="0"/>
        <v>0.21</v>
      </c>
      <c r="L6" s="20">
        <f>(Table2[[#This Row],[Bid]]+Table2[[#This Row],[Ask]])/2</f>
        <v>6.9450000000000003</v>
      </c>
      <c r="M6" s="23">
        <f>(Table2[[#This Row],[Expiration]]-Table2[[#This Row],[Date]])/365.25</f>
        <v>0.20260095824777549</v>
      </c>
      <c r="N6" s="27">
        <f>(LN($L$26/Table2[[#This Row],[Strike]])+($C$28+Table4[[#This Row],[Volatility]]^2/2)*M6)/(Table4[[#This Row],[Volatility]]*SQRT(M6))</f>
        <v>-0.47279043101314355</v>
      </c>
      <c r="O6" s="27">
        <f>N6-Table4[[#This Row],[Volatility]]*SQRT(M6)</f>
        <v>-0.56731398500222552</v>
      </c>
      <c r="P6" s="20">
        <f>$L$26*_xlfn.NORM.S.DIST(N6,TRUE)-Table2[[#This Row],[Strike]]*EXP(-$C$28*M6)*_xlfn.NORM.S.DIST(O6, TRUE)</f>
        <v>4.2141584977453448</v>
      </c>
      <c r="Q6" s="20"/>
      <c r="R6" s="20">
        <f t="shared" si="1"/>
        <v>2.7308415022546555</v>
      </c>
      <c r="S6" s="9"/>
    </row>
    <row r="7" spans="1:19" x14ac:dyDescent="0.25">
      <c r="A7" s="6"/>
      <c r="B7" s="19">
        <v>40301</v>
      </c>
      <c r="C7" s="7" t="s">
        <v>15</v>
      </c>
      <c r="D7" s="20">
        <v>4.22</v>
      </c>
      <c r="E7" s="20">
        <v>4.24</v>
      </c>
      <c r="F7" s="21">
        <v>249</v>
      </c>
      <c r="G7" s="19">
        <v>40375</v>
      </c>
      <c r="H7" s="33" t="s">
        <v>10</v>
      </c>
      <c r="I7" s="33" t="s">
        <v>11</v>
      </c>
      <c r="J7" s="8"/>
      <c r="K7" s="39">
        <f t="shared" si="0"/>
        <v>0.21</v>
      </c>
      <c r="L7" s="20">
        <f>(Table2[[#This Row],[Bid]]+Table2[[#This Row],[Ask]])/2</f>
        <v>4.2300000000000004</v>
      </c>
      <c r="M7" s="23">
        <f>(Table2[[#This Row],[Expiration]]-Table2[[#This Row],[Date]])/365.25</f>
        <v>0.20260095824777549</v>
      </c>
      <c r="N7" s="27">
        <f>(LN($L$26/Table2[[#This Row],[Strike]])+($C$28+Table4[[#This Row],[Volatility]]^2/2)*M7)/(Table4[[#This Row],[Volatility]]*SQRT(M7))</f>
        <v>-0.90643202406974255</v>
      </c>
      <c r="O7" s="27">
        <f>N7-Table4[[#This Row],[Volatility]]*SQRT(M7)</f>
        <v>-1.0009555780588246</v>
      </c>
      <c r="P7" s="20">
        <f>$L$26*_xlfn.NORM.S.DIST(N7,TRUE)-Table2[[#This Row],[Strike]]*EXP(-$C$28*M7)*_xlfn.NORM.S.DIST(O7, TRUE)</f>
        <v>2.0401758668069903</v>
      </c>
      <c r="Q7" s="20"/>
      <c r="R7" s="20">
        <f t="shared" si="1"/>
        <v>2.1898241331930102</v>
      </c>
      <c r="S7" s="9"/>
    </row>
    <row r="8" spans="1:19" x14ac:dyDescent="0.25">
      <c r="A8" s="6"/>
      <c r="B8" s="19">
        <v>40301</v>
      </c>
      <c r="C8" s="7" t="s">
        <v>16</v>
      </c>
      <c r="D8" s="20">
        <v>27.52</v>
      </c>
      <c r="E8" s="20">
        <v>27.74</v>
      </c>
      <c r="F8" s="21">
        <v>209</v>
      </c>
      <c r="G8" s="19">
        <v>40466</v>
      </c>
      <c r="H8" s="33" t="s">
        <v>10</v>
      </c>
      <c r="I8" s="33" t="s">
        <v>11</v>
      </c>
      <c r="J8" s="8"/>
      <c r="K8" s="39">
        <f t="shared" si="0"/>
        <v>0.21</v>
      </c>
      <c r="L8" s="20">
        <f>(Table2[[#This Row],[Bid]]+Table2[[#This Row],[Ask]])/2</f>
        <v>27.63</v>
      </c>
      <c r="M8" s="23">
        <f>(Table2[[#This Row],[Expiration]]-Table2[[#This Row],[Date]])/365.25</f>
        <v>0.45174537987679669</v>
      </c>
      <c r="N8" s="27">
        <f>(LN($L$26/Table2[[#This Row],[Strike]])+($C$28+Table4[[#This Row],[Volatility]]^2/2)*M8)/(Table4[[#This Row],[Volatility]]*SQRT(M8))</f>
        <v>0.69024336379449291</v>
      </c>
      <c r="O8" s="27">
        <f>N8-Table4[[#This Row],[Volatility]]*SQRT(M8)</f>
        <v>0.54909815044112864</v>
      </c>
      <c r="P8" s="20">
        <f>$L$26*_xlfn.NORM.S.DIST(N8,TRUE)-Table2[[#This Row],[Strike]]*EXP(-$C$28*M8)*_xlfn.NORM.S.DIST(O8, TRUE)</f>
        <v>24.021432186363683</v>
      </c>
      <c r="Q8" s="20"/>
      <c r="R8" s="20">
        <f t="shared" si="1"/>
        <v>3.6085678136363164</v>
      </c>
      <c r="S8" s="9"/>
    </row>
    <row r="9" spans="1:19" x14ac:dyDescent="0.25">
      <c r="A9" s="6"/>
      <c r="B9" s="19">
        <v>40301</v>
      </c>
      <c r="C9" s="7" t="s">
        <v>17</v>
      </c>
      <c r="D9" s="20">
        <v>21.63</v>
      </c>
      <c r="E9" s="20">
        <v>21.71</v>
      </c>
      <c r="F9" s="21">
        <v>219</v>
      </c>
      <c r="G9" s="19">
        <v>40466</v>
      </c>
      <c r="H9" s="33" t="s">
        <v>10</v>
      </c>
      <c r="I9" s="33" t="s">
        <v>11</v>
      </c>
      <c r="J9" s="8"/>
      <c r="K9" s="39">
        <f t="shared" si="0"/>
        <v>0.21</v>
      </c>
      <c r="L9" s="20">
        <f>(Table2[[#This Row],[Bid]]+Table2[[#This Row],[Ask]])/2</f>
        <v>21.67</v>
      </c>
      <c r="M9" s="23">
        <f>(Table2[[#This Row],[Expiration]]-Table2[[#This Row],[Date]])/365.25</f>
        <v>0.45174537987679669</v>
      </c>
      <c r="N9" s="27">
        <f>(LN($L$26/Table2[[#This Row],[Strike]])+($C$28+Table4[[#This Row],[Volatility]]^2/2)*M9)/(Table4[[#This Row],[Volatility]]*SQRT(M9))</f>
        <v>0.35911291493768183</v>
      </c>
      <c r="O9" s="27">
        <f>N9-Table4[[#This Row],[Volatility]]*SQRT(M9)</f>
        <v>0.21796770158431752</v>
      </c>
      <c r="P9" s="20">
        <f>$L$26*_xlfn.NORM.S.DIST(N9,TRUE)-Table2[[#This Row],[Strike]]*EXP(-$C$28*M9)*_xlfn.NORM.S.DIST(O9, TRUE)</f>
        <v>17.568510983432688</v>
      </c>
      <c r="Q9" s="20"/>
      <c r="R9" s="20">
        <f t="shared" si="1"/>
        <v>4.1014890165673137</v>
      </c>
      <c r="S9" s="9"/>
    </row>
    <row r="10" spans="1:19" x14ac:dyDescent="0.25">
      <c r="A10" s="6"/>
      <c r="B10" s="19">
        <v>40301</v>
      </c>
      <c r="C10" s="7" t="s">
        <v>18</v>
      </c>
      <c r="D10" s="20">
        <v>16.71</v>
      </c>
      <c r="E10" s="20">
        <v>16.78</v>
      </c>
      <c r="F10" s="21">
        <v>229</v>
      </c>
      <c r="G10" s="19">
        <v>40466</v>
      </c>
      <c r="H10" s="33" t="s">
        <v>10</v>
      </c>
      <c r="I10" s="33" t="s">
        <v>11</v>
      </c>
      <c r="J10" s="8"/>
      <c r="K10" s="39">
        <f t="shared" si="0"/>
        <v>0.21</v>
      </c>
      <c r="L10" s="20">
        <f>(Table2[[#This Row],[Bid]]+Table2[[#This Row],[Ask]])/2</f>
        <v>16.745000000000001</v>
      </c>
      <c r="M10" s="23">
        <f>(Table2[[#This Row],[Expiration]]-Table2[[#This Row],[Date]])/365.25</f>
        <v>0.45174537987679669</v>
      </c>
      <c r="N10" s="27">
        <f>(LN($L$26/Table2[[#This Row],[Strike]])+($C$28+Table4[[#This Row],[Volatility]]^2/2)*M10)/(Table4[[#This Row],[Volatility]]*SQRT(M10))</f>
        <v>4.2770102617475624E-2</v>
      </c>
      <c r="O10" s="27">
        <f>N10-Table4[[#This Row],[Volatility]]*SQRT(M10)</f>
        <v>-9.8375110735888671E-2</v>
      </c>
      <c r="P10" s="20">
        <f>$L$26*_xlfn.NORM.S.DIST(N10,TRUE)-Table2[[#This Row],[Strike]]*EXP(-$C$28*M10)*_xlfn.NORM.S.DIST(O10, TRUE)</f>
        <v>12.359350626473727</v>
      </c>
      <c r="Q10" s="20"/>
      <c r="R10" s="20">
        <f t="shared" si="1"/>
        <v>4.3856493735262738</v>
      </c>
      <c r="S10" s="9"/>
    </row>
    <row r="11" spans="1:19" x14ac:dyDescent="0.25">
      <c r="A11" s="6"/>
      <c r="B11" s="19">
        <v>40301</v>
      </c>
      <c r="C11" s="7" t="s">
        <v>19</v>
      </c>
      <c r="D11" s="20">
        <v>12.64</v>
      </c>
      <c r="E11" s="20">
        <v>12.68</v>
      </c>
      <c r="F11" s="21">
        <v>239</v>
      </c>
      <c r="G11" s="19">
        <v>40466</v>
      </c>
      <c r="H11" s="33" t="s">
        <v>10</v>
      </c>
      <c r="I11" s="33" t="s">
        <v>11</v>
      </c>
      <c r="J11" s="8"/>
      <c r="K11" s="39">
        <f t="shared" si="0"/>
        <v>0.21</v>
      </c>
      <c r="L11" s="20">
        <f>(Table2[[#This Row],[Bid]]+Table2[[#This Row],[Ask]])/2</f>
        <v>12.66</v>
      </c>
      <c r="M11" s="23">
        <f>(Table2[[#This Row],[Expiration]]-Table2[[#This Row],[Date]])/365.25</f>
        <v>0.45174537987679669</v>
      </c>
      <c r="N11" s="27">
        <f>(LN($L$26/Table2[[#This Row],[Strike]])+($C$28+Table4[[#This Row],[Volatility]]^2/2)*M11)/(Table4[[#This Row],[Volatility]]*SQRT(M11))</f>
        <v>-0.26004957763810133</v>
      </c>
      <c r="O11" s="27">
        <f>N11-Table4[[#This Row],[Volatility]]*SQRT(M11)</f>
        <v>-0.4011947909914656</v>
      </c>
      <c r="P11" s="20">
        <f>$L$26*_xlfn.NORM.S.DIST(N11,TRUE)-Table2[[#This Row],[Strike]]*EXP(-$C$28*M11)*_xlfn.NORM.S.DIST(O11, TRUE)</f>
        <v>8.3641546325194014</v>
      </c>
      <c r="Q11" s="20"/>
      <c r="R11" s="20">
        <f t="shared" si="1"/>
        <v>4.2958453674805988</v>
      </c>
      <c r="S11" s="9"/>
    </row>
    <row r="12" spans="1:19" x14ac:dyDescent="0.25">
      <c r="A12" s="6"/>
      <c r="B12" s="19">
        <v>40301</v>
      </c>
      <c r="C12" s="7" t="s">
        <v>20</v>
      </c>
      <c r="D12" s="20">
        <v>9.4</v>
      </c>
      <c r="E12" s="20">
        <v>9.43</v>
      </c>
      <c r="F12" s="21">
        <v>249</v>
      </c>
      <c r="G12" s="19">
        <v>40466</v>
      </c>
      <c r="H12" s="33" t="s">
        <v>10</v>
      </c>
      <c r="I12" s="33" t="s">
        <v>11</v>
      </c>
      <c r="J12" s="8"/>
      <c r="K12" s="39">
        <f t="shared" si="0"/>
        <v>0.21</v>
      </c>
      <c r="L12" s="20">
        <f>(Table2[[#This Row],[Bid]]+Table2[[#This Row],[Ask]])/2</f>
        <v>9.4149999999999991</v>
      </c>
      <c r="M12" s="23">
        <f>(Table2[[#This Row],[Expiration]]-Table2[[#This Row],[Date]])/365.25</f>
        <v>0.45174537987679669</v>
      </c>
      <c r="N12" s="27">
        <f>(LN($L$26/Table2[[#This Row],[Strike]])+($C$28+Table4[[#This Row],[Volatility]]^2/2)*M12)/(Table4[[#This Row],[Volatility]]*SQRT(M12))</f>
        <v>-0.5504550654287359</v>
      </c>
      <c r="O12" s="27">
        <f>N12-Table4[[#This Row],[Volatility]]*SQRT(M12)</f>
        <v>-0.69160027878210018</v>
      </c>
      <c r="P12" s="20">
        <f>$L$26*_xlfn.NORM.S.DIST(N12,TRUE)-Table2[[#This Row],[Strike]]*EXP(-$C$28*M12)*_xlfn.NORM.S.DIST(O12, TRUE)</f>
        <v>5.45020872040066</v>
      </c>
      <c r="Q12" s="20"/>
      <c r="R12" s="20">
        <f t="shared" si="1"/>
        <v>3.9647912795993392</v>
      </c>
      <c r="S12" s="9"/>
    </row>
    <row r="13" spans="1:19" x14ac:dyDescent="0.25">
      <c r="A13" s="6"/>
      <c r="B13" s="19">
        <v>40301</v>
      </c>
      <c r="C13" s="7" t="s">
        <v>21</v>
      </c>
      <c r="D13" s="20">
        <v>4.13</v>
      </c>
      <c r="E13" s="20">
        <v>4.17</v>
      </c>
      <c r="F13" s="21">
        <v>209</v>
      </c>
      <c r="G13" s="19">
        <v>40375</v>
      </c>
      <c r="H13" s="33" t="s">
        <v>22</v>
      </c>
      <c r="I13" s="33" t="s">
        <v>11</v>
      </c>
      <c r="J13" s="8"/>
      <c r="K13" s="39">
        <f t="shared" si="0"/>
        <v>0.21</v>
      </c>
      <c r="L13" s="20">
        <f>(Table2[[#This Row],[Bid]]+Table2[[#This Row],[Ask]])/2</f>
        <v>4.1500000000000004</v>
      </c>
      <c r="M13" s="23">
        <f>(Table2[[#This Row],[Expiration]]-Table2[[#This Row],[Date]])/365.25</f>
        <v>0.20260095824777549</v>
      </c>
      <c r="N13" s="27">
        <f>(LN($L$26/Table2[[#This Row],[Strike]])+($C$28+Table4[[#This Row],[Volatility]]^2/2)*M13)/(Table4[[#This Row],[Volatility]]*SQRT(M13))</f>
        <v>0.94621355588934142</v>
      </c>
      <c r="O13" s="27">
        <f>N13-Table4[[#This Row],[Volatility]]*SQRT(M13)</f>
        <v>0.85169000190025945</v>
      </c>
      <c r="P13" s="20"/>
      <c r="Q13" s="20">
        <f>-$L$26*_xlfn.NORM.S.DIST(-N13,TRUE)+Table2[[#This Row],[Strike]]*EXP(-$C$28*M13)*_xlfn.NORM.S.DIST(-O13, TRUE)</f>
        <v>2.0685363582509666</v>
      </c>
      <c r="R13" s="20">
        <f>ABS(Q13-L13)</f>
        <v>2.0814636417490338</v>
      </c>
      <c r="S13" s="9"/>
    </row>
    <row r="14" spans="1:19" x14ac:dyDescent="0.25">
      <c r="A14" s="6"/>
      <c r="B14" s="19">
        <v>40301</v>
      </c>
      <c r="C14" s="7" t="s">
        <v>23</v>
      </c>
      <c r="D14" s="20">
        <v>7.52</v>
      </c>
      <c r="E14" s="20">
        <v>7.54</v>
      </c>
      <c r="F14" s="21">
        <v>219</v>
      </c>
      <c r="G14" s="19">
        <v>40375</v>
      </c>
      <c r="H14" s="33" t="s">
        <v>22</v>
      </c>
      <c r="I14" s="33" t="s">
        <v>11</v>
      </c>
      <c r="J14" s="8"/>
      <c r="K14" s="39">
        <f t="shared" si="0"/>
        <v>0.21</v>
      </c>
      <c r="L14" s="20">
        <f>(Table2[[#This Row],[Bid]]+Table2[[#This Row],[Ask]])/2</f>
        <v>7.5299999999999994</v>
      </c>
      <c r="M14" s="23">
        <f>(Table2[[#This Row],[Expiration]]-Table2[[#This Row],[Date]])/365.25</f>
        <v>0.20260095824777549</v>
      </c>
      <c r="N14" s="27">
        <f>(LN($L$26/Table2[[#This Row],[Strike]])+($C$28+Table4[[#This Row],[Volatility]]^2/2)*M14)/(Table4[[#This Row],[Volatility]]*SQRT(M14))</f>
        <v>0.45176031244603704</v>
      </c>
      <c r="O14" s="27">
        <f>N14-Table4[[#This Row],[Volatility]]*SQRT(M14)</f>
        <v>0.35723675845695502</v>
      </c>
      <c r="P14" s="20"/>
      <c r="Q14" s="20">
        <f>-$L$26*_xlfn.NORM.S.DIST(-N14,TRUE)+Table2[[#This Row],[Strike]]*EXP(-$C$28*M14)*_xlfn.NORM.S.DIST(-O14, TRUE)</f>
        <v>4.8173159123557383</v>
      </c>
      <c r="R14" s="20">
        <f t="shared" ref="R14:R22" si="2">ABS(Q14-L14)</f>
        <v>2.7126840876442611</v>
      </c>
      <c r="S14" s="9"/>
    </row>
    <row r="15" spans="1:19" x14ac:dyDescent="0.25">
      <c r="A15" s="6"/>
      <c r="B15" s="19">
        <v>40301</v>
      </c>
      <c r="C15" s="7" t="s">
        <v>24</v>
      </c>
      <c r="D15" s="20">
        <v>12.23</v>
      </c>
      <c r="E15" s="20">
        <v>12.3</v>
      </c>
      <c r="F15" s="21">
        <v>229</v>
      </c>
      <c r="G15" s="19">
        <v>40375</v>
      </c>
      <c r="H15" s="33" t="s">
        <v>22</v>
      </c>
      <c r="I15" s="33" t="s">
        <v>11</v>
      </c>
      <c r="J15" s="8"/>
      <c r="K15" s="39">
        <f t="shared" si="0"/>
        <v>0.21</v>
      </c>
      <c r="L15" s="20">
        <f>(Table2[[#This Row],[Bid]]+Table2[[#This Row],[Ask]])/2</f>
        <v>12.265000000000001</v>
      </c>
      <c r="M15" s="23">
        <f>(Table2[[#This Row],[Expiration]]-Table2[[#This Row],[Date]])/365.25</f>
        <v>0.20260095824777549</v>
      </c>
      <c r="N15" s="27">
        <f>(LN($L$26/Table2[[#This Row],[Strike]])+($C$28+Table4[[#This Row],[Volatility]]^2/2)*M15)/(Table4[[#This Row],[Volatility]]*SQRT(M15))</f>
        <v>-2.0611618711948609E-2</v>
      </c>
      <c r="O15" s="27">
        <f>N15-Table4[[#This Row],[Volatility]]*SQRT(M15)</f>
        <v>-0.1151351727010306</v>
      </c>
      <c r="P15" s="20"/>
      <c r="Q15" s="20">
        <f>-$L$26*_xlfn.NORM.S.DIST(-N15,TRUE)+Table2[[#This Row],[Strike]]*EXP(-$C$28*M15)*_xlfn.NORM.S.DIST(-O15, TRUE)</f>
        <v>9.3377452110373156</v>
      </c>
      <c r="R15" s="20">
        <f t="shared" si="2"/>
        <v>2.927254788962685</v>
      </c>
      <c r="S15" s="9"/>
    </row>
    <row r="16" spans="1:19" x14ac:dyDescent="0.25">
      <c r="A16" s="6"/>
      <c r="B16" s="19">
        <v>40301</v>
      </c>
      <c r="C16" s="7" t="s">
        <v>25</v>
      </c>
      <c r="D16" s="20">
        <v>18.350000000000001</v>
      </c>
      <c r="E16" s="20">
        <v>18.440000000000001</v>
      </c>
      <c r="F16" s="21">
        <v>239</v>
      </c>
      <c r="G16" s="19">
        <v>40375</v>
      </c>
      <c r="H16" s="33" t="s">
        <v>22</v>
      </c>
      <c r="I16" s="33" t="s">
        <v>11</v>
      </c>
      <c r="J16" s="8"/>
      <c r="K16" s="39">
        <f t="shared" si="0"/>
        <v>0.21</v>
      </c>
      <c r="L16" s="20">
        <f>(Table2[[#This Row],[Bid]]+Table2[[#This Row],[Ask]])/2</f>
        <v>18.395000000000003</v>
      </c>
      <c r="M16" s="23">
        <f>(Table2[[#This Row],[Expiration]]-Table2[[#This Row],[Date]])/365.25</f>
        <v>0.20260095824777549</v>
      </c>
      <c r="N16" s="27">
        <f>(LN($L$26/Table2[[#This Row],[Strike]])+($C$28+Table4[[#This Row],[Volatility]]^2/2)*M16)/(Table4[[#This Row],[Volatility]]*SQRT(M16))</f>
        <v>-0.47279043101314355</v>
      </c>
      <c r="O16" s="27">
        <f>N16-Table4[[#This Row],[Volatility]]*SQRT(M16)</f>
        <v>-0.56731398500222552</v>
      </c>
      <c r="P16" s="20"/>
      <c r="Q16" s="20">
        <f>-$L$26*_xlfn.NORM.S.DIST(-N16,TRUE)+Table2[[#This Row],[Strike]]*EXP(-$C$28*M16)*_xlfn.NORM.S.DIST(-O16, TRUE)</f>
        <v>15.655432389861204</v>
      </c>
      <c r="R16" s="20">
        <f t="shared" si="2"/>
        <v>2.7395676101387991</v>
      </c>
      <c r="S16" s="9"/>
    </row>
    <row r="17" spans="1:19" x14ac:dyDescent="0.25">
      <c r="A17" s="6"/>
      <c r="B17" s="19">
        <v>40301</v>
      </c>
      <c r="C17" s="7" t="s">
        <v>26</v>
      </c>
      <c r="D17" s="20">
        <v>25.59</v>
      </c>
      <c r="E17" s="20">
        <v>25.76</v>
      </c>
      <c r="F17" s="21">
        <v>249</v>
      </c>
      <c r="G17" s="19">
        <v>40375</v>
      </c>
      <c r="H17" s="33" t="s">
        <v>22</v>
      </c>
      <c r="I17" s="33" t="s">
        <v>11</v>
      </c>
      <c r="J17" s="8"/>
      <c r="K17" s="39">
        <f t="shared" si="0"/>
        <v>0.21</v>
      </c>
      <c r="L17" s="20">
        <f>(Table2[[#This Row],[Bid]]+Table2[[#This Row],[Ask]])/2</f>
        <v>25.675000000000001</v>
      </c>
      <c r="M17" s="23">
        <f>(Table2[[#This Row],[Expiration]]-Table2[[#This Row],[Date]])/365.25</f>
        <v>0.20260095824777549</v>
      </c>
      <c r="N17" s="27">
        <f>(LN($L$26/Table2[[#This Row],[Strike]])+($C$28+Table4[[#This Row],[Volatility]]^2/2)*M17)/(Table4[[#This Row],[Volatility]]*SQRT(M17))</f>
        <v>-0.90643202406974255</v>
      </c>
      <c r="O17" s="27">
        <f>N17-Table4[[#This Row],[Volatility]]*SQRT(M17)</f>
        <v>-1.0009555780588246</v>
      </c>
      <c r="P17" s="20"/>
      <c r="Q17" s="20">
        <f>-$L$26*_xlfn.NORM.S.DIST(-N17,TRUE)+Table2[[#This Row],[Strike]]*EXP(-$C$28*M17)*_xlfn.NORM.S.DIST(-O17, TRUE)</f>
        <v>23.461210172818909</v>
      </c>
      <c r="R17" s="20">
        <f t="shared" si="2"/>
        <v>2.2137898271810919</v>
      </c>
      <c r="S17" s="9"/>
    </row>
    <row r="18" spans="1:19" x14ac:dyDescent="0.25">
      <c r="A18" s="6"/>
      <c r="B18" s="19">
        <v>40301</v>
      </c>
      <c r="C18" s="7" t="s">
        <v>27</v>
      </c>
      <c r="D18" s="20">
        <v>8.6300000000000008</v>
      </c>
      <c r="E18" s="20">
        <v>8.6300000000000008</v>
      </c>
      <c r="F18" s="21">
        <v>209</v>
      </c>
      <c r="G18" s="19">
        <v>40466</v>
      </c>
      <c r="H18" s="33" t="s">
        <v>22</v>
      </c>
      <c r="I18" s="33" t="s">
        <v>11</v>
      </c>
      <c r="J18" s="8"/>
      <c r="K18" s="39">
        <f t="shared" si="0"/>
        <v>0.21</v>
      </c>
      <c r="L18" s="20">
        <f>(Table2[[#This Row],[Bid]]+Table2[[#This Row],[Ask]])/2</f>
        <v>8.6300000000000008</v>
      </c>
      <c r="M18" s="23">
        <f>(Table2[[#This Row],[Expiration]]-Table2[[#This Row],[Date]])/365.25</f>
        <v>0.45174537987679669</v>
      </c>
      <c r="N18" s="27">
        <f>(LN($L$26/Table2[[#This Row],[Strike]])+($C$28+Table4[[#This Row],[Volatility]]^2/2)*M18)/(Table4[[#This Row],[Volatility]]*SQRT(M18))</f>
        <v>0.69024336379449291</v>
      </c>
      <c r="O18" s="27">
        <f>N18-Table4[[#This Row],[Volatility]]*SQRT(M18)</f>
        <v>0.54909815044112864</v>
      </c>
      <c r="P18" s="20"/>
      <c r="Q18" s="20">
        <f>-$L$26*_xlfn.NORM.S.DIST(-N18,TRUE)+Table2[[#This Row],[Strike]]*EXP(-$C$28*M18)*_xlfn.NORM.S.DIST(-O18, TRUE)</f>
        <v>5.0044137069113788</v>
      </c>
      <c r="R18" s="20">
        <f t="shared" si="2"/>
        <v>3.625586293088622</v>
      </c>
      <c r="S18" s="9"/>
    </row>
    <row r="19" spans="1:19" x14ac:dyDescent="0.25">
      <c r="A19" s="6"/>
      <c r="B19" s="19">
        <v>40301</v>
      </c>
      <c r="C19" s="7" t="s">
        <v>28</v>
      </c>
      <c r="D19" s="20">
        <v>12.61</v>
      </c>
      <c r="E19" s="20">
        <v>12.71</v>
      </c>
      <c r="F19" s="21">
        <v>219</v>
      </c>
      <c r="G19" s="19">
        <v>40466</v>
      </c>
      <c r="H19" s="33" t="s">
        <v>22</v>
      </c>
      <c r="I19" s="33" t="s">
        <v>11</v>
      </c>
      <c r="J19" s="8"/>
      <c r="K19" s="39">
        <f t="shared" si="0"/>
        <v>0.21</v>
      </c>
      <c r="L19" s="20">
        <f>(Table2[[#This Row],[Bid]]+Table2[[#This Row],[Ask]])/2</f>
        <v>12.66</v>
      </c>
      <c r="M19" s="23">
        <f>(Table2[[#This Row],[Expiration]]-Table2[[#This Row],[Date]])/365.25</f>
        <v>0.45174537987679669</v>
      </c>
      <c r="N19" s="27">
        <f>(LN($L$26/Table2[[#This Row],[Strike]])+($C$28+Table4[[#This Row],[Volatility]]^2/2)*M19)/(Table4[[#This Row],[Volatility]]*SQRT(M19))</f>
        <v>0.35911291493768183</v>
      </c>
      <c r="O19" s="27">
        <f>N19-Table4[[#This Row],[Volatility]]*SQRT(M19)</f>
        <v>0.21796770158431752</v>
      </c>
      <c r="P19" s="20"/>
      <c r="Q19" s="20">
        <f>-$L$26*_xlfn.NORM.S.DIST(-N19,TRUE)+Table2[[#This Row],[Strike]]*EXP(-$C$28*M19)*_xlfn.NORM.S.DIST(-O19, TRUE)</f>
        <v>8.5064198494610679</v>
      </c>
      <c r="R19" s="20">
        <f t="shared" si="2"/>
        <v>4.1535801505389323</v>
      </c>
      <c r="S19" s="9"/>
    </row>
    <row r="20" spans="1:19" x14ac:dyDescent="0.25">
      <c r="A20" s="6"/>
      <c r="B20" s="19">
        <v>40301</v>
      </c>
      <c r="C20" s="7" t="s">
        <v>29</v>
      </c>
      <c r="D20" s="20">
        <v>17.579999999999998</v>
      </c>
      <c r="E20" s="20">
        <v>17.670000000000002</v>
      </c>
      <c r="F20" s="21">
        <v>229</v>
      </c>
      <c r="G20" s="19">
        <v>40466</v>
      </c>
      <c r="H20" s="33" t="s">
        <v>22</v>
      </c>
      <c r="I20" s="33" t="s">
        <v>11</v>
      </c>
      <c r="J20" s="8"/>
      <c r="K20" s="39">
        <f t="shared" si="0"/>
        <v>0.21</v>
      </c>
      <c r="L20" s="20">
        <f>(Table2[[#This Row],[Bid]]+Table2[[#This Row],[Ask]])/2</f>
        <v>17.625</v>
      </c>
      <c r="M20" s="23">
        <f>(Table2[[#This Row],[Expiration]]-Table2[[#This Row],[Date]])/365.25</f>
        <v>0.45174537987679669</v>
      </c>
      <c r="N20" s="27">
        <f>(LN($L$26/Table2[[#This Row],[Strike]])+($C$28+Table4[[#This Row],[Volatility]]^2/2)*M20)/(Table4[[#This Row],[Volatility]]*SQRT(M20))</f>
        <v>4.2770102617475624E-2</v>
      </c>
      <c r="O20" s="27">
        <f>N20-Table4[[#This Row],[Volatility]]*SQRT(M20)</f>
        <v>-9.8375110735888671E-2</v>
      </c>
      <c r="P20" s="20"/>
      <c r="Q20" s="20">
        <f>-$L$26*_xlfn.NORM.S.DIST(-N20,TRUE)+Table2[[#This Row],[Strike]]*EXP(-$C$28*M20)*_xlfn.NORM.S.DIST(-O20, TRUE)</f>
        <v>13.25218683798289</v>
      </c>
      <c r="R20" s="20">
        <f t="shared" si="2"/>
        <v>4.3728131620171098</v>
      </c>
      <c r="S20" s="9"/>
    </row>
    <row r="21" spans="1:19" x14ac:dyDescent="0.25">
      <c r="A21" s="6"/>
      <c r="B21" s="19">
        <v>40301</v>
      </c>
      <c r="C21" s="7" t="s">
        <v>30</v>
      </c>
      <c r="D21" s="20">
        <v>23.44</v>
      </c>
      <c r="E21" s="20">
        <v>23.61</v>
      </c>
      <c r="F21" s="21">
        <v>239</v>
      </c>
      <c r="G21" s="19">
        <v>40466</v>
      </c>
      <c r="H21" s="33" t="s">
        <v>22</v>
      </c>
      <c r="I21" s="33" t="s">
        <v>11</v>
      </c>
      <c r="J21" s="8"/>
      <c r="K21" s="39">
        <f t="shared" si="0"/>
        <v>0.21</v>
      </c>
      <c r="L21" s="20">
        <f>(Table2[[#This Row],[Bid]]+Table2[[#This Row],[Ask]])/2</f>
        <v>23.524999999999999</v>
      </c>
      <c r="M21" s="23">
        <f>(Table2[[#This Row],[Expiration]]-Table2[[#This Row],[Date]])/365.25</f>
        <v>0.45174537987679669</v>
      </c>
      <c r="N21" s="27">
        <f>(LN($L$26/Table2[[#This Row],[Strike]])+($C$28+Table4[[#This Row],[Volatility]]^2/2)*M21)/(Table4[[#This Row],[Volatility]]*SQRT(M21))</f>
        <v>-0.26004957763810133</v>
      </c>
      <c r="O21" s="27">
        <f>N21-Table4[[#This Row],[Volatility]]*SQRT(M21)</f>
        <v>-0.4011947909914656</v>
      </c>
      <c r="P21" s="20"/>
      <c r="Q21" s="20">
        <f>-$L$26*_xlfn.NORM.S.DIST(-N21,TRUE)+Table2[[#This Row],[Strike]]*EXP(-$C$28*M21)*_xlfn.NORM.S.DIST(-O21, TRUE)</f>
        <v>19.211918189509277</v>
      </c>
      <c r="R21" s="20">
        <f t="shared" si="2"/>
        <v>4.313081810490722</v>
      </c>
      <c r="S21" s="9"/>
    </row>
    <row r="22" spans="1:19" x14ac:dyDescent="0.25">
      <c r="A22" s="6"/>
      <c r="B22" s="19">
        <v>40301</v>
      </c>
      <c r="C22" s="7" t="s">
        <v>31</v>
      </c>
      <c r="D22" s="20">
        <v>30.09</v>
      </c>
      <c r="E22" s="20">
        <v>30.28</v>
      </c>
      <c r="F22" s="21">
        <v>249</v>
      </c>
      <c r="G22" s="19">
        <v>40466</v>
      </c>
      <c r="H22" s="33" t="s">
        <v>22</v>
      </c>
      <c r="I22" s="33" t="s">
        <v>11</v>
      </c>
      <c r="J22" s="8"/>
      <c r="K22" s="39">
        <f t="shared" si="0"/>
        <v>0.21</v>
      </c>
      <c r="L22" s="20">
        <f>(Table2[[#This Row],[Bid]]+Table2[[#This Row],[Ask]])/2</f>
        <v>30.185000000000002</v>
      </c>
      <c r="M22" s="23">
        <f>(Table2[[#This Row],[Expiration]]-Table2[[#This Row],[Date]])/365.25</f>
        <v>0.45174537987679669</v>
      </c>
      <c r="N22" s="27">
        <f>(LN($L$26/Table2[[#This Row],[Strike]])+($C$28+Table4[[#This Row],[Volatility]]^2/2)*M22)/(Table4[[#This Row],[Volatility]]*SQRT(M22))</f>
        <v>-0.5504550654287359</v>
      </c>
      <c r="O22" s="27">
        <f>N22-Table4[[#This Row],[Volatility]]*SQRT(M22)</f>
        <v>-0.69160027878210018</v>
      </c>
      <c r="P22" s="20"/>
      <c r="Q22" s="20">
        <f>-$L$26*_xlfn.NORM.S.DIST(-N22,TRUE)+Table2[[#This Row],[Strike]]*EXP(-$C$28*M22)*_xlfn.NORM.S.DIST(-O22, TRUE)</f>
        <v>26.252899622871325</v>
      </c>
      <c r="R22" s="20">
        <f t="shared" si="2"/>
        <v>3.9321003771286769</v>
      </c>
      <c r="S22" s="9"/>
    </row>
    <row r="23" spans="1:19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</row>
    <row r="24" spans="1:19" x14ac:dyDescent="0.25">
      <c r="B24" s="2"/>
      <c r="C24" s="3"/>
      <c r="D24" s="4"/>
      <c r="E24" s="4"/>
      <c r="F24" s="5"/>
      <c r="G24" s="2"/>
    </row>
    <row r="25" spans="1:19" x14ac:dyDescent="0.25">
      <c r="A25" s="6"/>
      <c r="B25" s="19" t="s">
        <v>1</v>
      </c>
      <c r="C25" s="7" t="s">
        <v>32</v>
      </c>
      <c r="D25" s="20" t="s">
        <v>3</v>
      </c>
      <c r="E25" s="20" t="s">
        <v>4</v>
      </c>
      <c r="F25" s="21" t="s">
        <v>33</v>
      </c>
      <c r="G25" s="19" t="s">
        <v>34</v>
      </c>
      <c r="H25" s="36"/>
      <c r="K25" s="42" t="s">
        <v>46</v>
      </c>
      <c r="L25" s="46" t="s">
        <v>43</v>
      </c>
      <c r="P25" s="30"/>
      <c r="Q25" s="30"/>
      <c r="R25" s="15" t="s">
        <v>44</v>
      </c>
    </row>
    <row r="26" spans="1:19" x14ac:dyDescent="0.25">
      <c r="A26" s="6"/>
      <c r="B26" s="19">
        <v>40301</v>
      </c>
      <c r="C26" s="7" t="s">
        <v>11</v>
      </c>
      <c r="D26" s="20">
        <v>226.97</v>
      </c>
      <c r="E26" s="20">
        <v>227.18</v>
      </c>
      <c r="F26" s="21"/>
      <c r="G26" s="19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3.306529597326235</v>
      </c>
    </row>
    <row r="27" spans="1:19" x14ac:dyDescent="0.25">
      <c r="B27" s="10"/>
      <c r="C27" s="11"/>
      <c r="D27" s="12"/>
      <c r="E27" s="12"/>
      <c r="F27" s="13"/>
      <c r="G27" s="10"/>
    </row>
    <row r="28" spans="1:19" x14ac:dyDescent="0.25">
      <c r="B28" s="31" t="s">
        <v>0</v>
      </c>
      <c r="C28" s="16">
        <v>0.01</v>
      </c>
      <c r="F28" s="31" t="s">
        <v>48</v>
      </c>
      <c r="G28" s="44">
        <v>0.21</v>
      </c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15</xdr:col>
                <xdr:colOff>771525</xdr:colOff>
                <xdr:row>26</xdr:row>
                <xdr:rowOff>95250</xdr:rowOff>
              </from>
              <to>
                <xdr:col>18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6" name="_ActiveXWrapper1"/>
      </mc:Fallback>
    </mc:AlternateContent>
  </controls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Jing Zhang</cp:lastModifiedBy>
  <dcterms:created xsi:type="dcterms:W3CDTF">2010-11-08T00:54:41Z</dcterms:created>
  <dcterms:modified xsi:type="dcterms:W3CDTF">2016-04-23T00:31:35Z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0cd317eb-1530-4b7e-be92-b01748110c2b</vt:lpwstr>
  </property>
</Properties>
</file>