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13" i="1"/>
  <c r="B913"/>
  <c r="A913"/>
  <c r="C912"/>
  <c r="B912"/>
  <c r="A912"/>
  <c r="C911"/>
  <c r="B911"/>
  <c r="A911"/>
  <c r="C910"/>
  <c r="B910"/>
  <c r="A910"/>
  <c r="C909"/>
  <c r="B909"/>
  <c r="A909"/>
  <c r="C908"/>
  <c r="B908"/>
  <c r="A908"/>
  <c r="C907"/>
  <c r="B907"/>
  <c r="A907"/>
  <c r="C906"/>
  <c r="B906"/>
  <c r="A906"/>
  <c r="C905"/>
  <c r="B905"/>
  <c r="A905"/>
  <c r="C904"/>
  <c r="B904"/>
  <c r="A904"/>
  <c r="C903"/>
  <c r="B903"/>
  <c r="A903"/>
  <c r="C902"/>
  <c r="B902"/>
  <c r="A902"/>
  <c r="C901"/>
  <c r="B901"/>
  <c r="A901"/>
  <c r="C900"/>
  <c r="B900"/>
  <c r="A900"/>
  <c r="C899"/>
  <c r="B899"/>
  <c r="A899"/>
  <c r="C898"/>
  <c r="B898"/>
  <c r="A898"/>
  <c r="C897"/>
  <c r="B897"/>
  <c r="A897"/>
  <c r="C896"/>
  <c r="B896"/>
  <c r="A896"/>
  <c r="C895"/>
  <c r="B895"/>
  <c r="A895"/>
  <c r="C894"/>
  <c r="B894"/>
  <c r="A894"/>
  <c r="C893"/>
  <c r="B893"/>
  <c r="A893"/>
  <c r="C892"/>
  <c r="B892"/>
  <c r="A892"/>
  <c r="C891"/>
  <c r="B891"/>
  <c r="A891"/>
  <c r="C890"/>
  <c r="B890"/>
  <c r="A890"/>
  <c r="C889"/>
  <c r="B889"/>
  <c r="A889"/>
  <c r="C888"/>
  <c r="B888"/>
  <c r="A888"/>
  <c r="C887"/>
  <c r="B887"/>
  <c r="A887"/>
  <c r="C886"/>
  <c r="B886"/>
  <c r="A886"/>
  <c r="C885"/>
  <c r="B885"/>
  <c r="A885"/>
  <c r="C884"/>
  <c r="B884"/>
  <c r="A884"/>
  <c r="C883"/>
  <c r="B883"/>
  <c r="A883"/>
  <c r="C882"/>
  <c r="B882"/>
  <c r="A882"/>
  <c r="C881"/>
  <c r="B881"/>
  <c r="A881"/>
  <c r="C880"/>
  <c r="B880"/>
  <c r="A880"/>
  <c r="C879"/>
  <c r="B879"/>
  <c r="A879"/>
  <c r="C878"/>
  <c r="B878"/>
  <c r="A878"/>
  <c r="C877"/>
  <c r="B877"/>
  <c r="A877"/>
  <c r="C876"/>
  <c r="B876"/>
  <c r="A876"/>
  <c r="C875"/>
  <c r="B875"/>
  <c r="A875"/>
  <c r="C874"/>
  <c r="B874"/>
  <c r="A874"/>
  <c r="C873"/>
  <c r="B873"/>
  <c r="A873"/>
  <c r="C872"/>
  <c r="B872"/>
  <c r="A872"/>
  <c r="C871"/>
  <c r="B871"/>
  <c r="A871"/>
  <c r="C870"/>
  <c r="B870"/>
  <c r="A870"/>
  <c r="C869"/>
  <c r="B869"/>
  <c r="A869"/>
  <c r="C868"/>
  <c r="B868"/>
  <c r="A868"/>
  <c r="C867"/>
  <c r="B867"/>
  <c r="A867"/>
  <c r="C866"/>
  <c r="B866"/>
  <c r="A866"/>
  <c r="C865"/>
  <c r="B865"/>
  <c r="A865"/>
  <c r="C864"/>
  <c r="B864"/>
  <c r="A864"/>
  <c r="C863"/>
  <c r="B863"/>
  <c r="A863"/>
  <c r="C862"/>
  <c r="B862"/>
  <c r="A862"/>
  <c r="C861"/>
  <c r="B861"/>
  <c r="A861"/>
  <c r="C860"/>
  <c r="B860"/>
  <c r="A860"/>
  <c r="C859"/>
  <c r="B859"/>
  <c r="A859"/>
  <c r="C858"/>
  <c r="B858"/>
  <c r="A858"/>
  <c r="C857"/>
  <c r="B857"/>
  <c r="A857"/>
  <c r="C856"/>
  <c r="B856"/>
  <c r="A856"/>
  <c r="C855"/>
  <c r="B855"/>
  <c r="A855"/>
  <c r="C854"/>
  <c r="B854"/>
  <c r="A854"/>
  <c r="C853"/>
  <c r="B853"/>
  <c r="A853"/>
  <c r="C852"/>
  <c r="B852"/>
  <c r="A852"/>
  <c r="C851"/>
  <c r="B851"/>
  <c r="A851"/>
  <c r="C850"/>
  <c r="B850"/>
  <c r="A850"/>
  <c r="C849"/>
  <c r="B849"/>
  <c r="A849"/>
  <c r="C848"/>
  <c r="B848"/>
  <c r="A848"/>
  <c r="C847"/>
  <c r="B847"/>
  <c r="A847"/>
  <c r="C846"/>
  <c r="B846"/>
  <c r="A846"/>
  <c r="C845"/>
  <c r="B845"/>
  <c r="A845"/>
  <c r="C844"/>
  <c r="B844"/>
  <c r="A844"/>
  <c r="C843"/>
  <c r="B843"/>
  <c r="A843"/>
  <c r="C842"/>
  <c r="B842"/>
  <c r="A842"/>
  <c r="C841"/>
  <c r="B841"/>
  <c r="A841"/>
  <c r="C840"/>
  <c r="B840"/>
  <c r="A840"/>
  <c r="C839"/>
  <c r="B839"/>
  <c r="A839"/>
  <c r="C838"/>
  <c r="B838"/>
  <c r="A838"/>
  <c r="C837"/>
  <c r="B837"/>
  <c r="A837"/>
  <c r="C836"/>
  <c r="B836"/>
  <c r="A836"/>
  <c r="C835"/>
  <c r="B835"/>
  <c r="A835"/>
  <c r="C834"/>
  <c r="B834"/>
  <c r="A834"/>
  <c r="C833"/>
  <c r="B833"/>
  <c r="A833"/>
  <c r="C832"/>
  <c r="B832"/>
  <c r="A832"/>
  <c r="C831"/>
  <c r="B831"/>
  <c r="A831"/>
  <c r="C830"/>
  <c r="B830"/>
  <c r="A830"/>
  <c r="C829"/>
  <c r="B829"/>
  <c r="A829"/>
  <c r="C828"/>
  <c r="B828"/>
  <c r="A828"/>
  <c r="C827"/>
  <c r="B827"/>
  <c r="A827"/>
  <c r="C826"/>
  <c r="B826"/>
  <c r="A826"/>
  <c r="C825"/>
  <c r="B825"/>
  <c r="A825"/>
  <c r="C824"/>
  <c r="B824"/>
  <c r="A824"/>
  <c r="C823"/>
  <c r="B823"/>
  <c r="A823"/>
  <c r="C822"/>
  <c r="B822"/>
  <c r="A822"/>
  <c r="C821"/>
  <c r="B821"/>
  <c r="A821"/>
  <c r="C820"/>
  <c r="B820"/>
  <c r="A820"/>
  <c r="C819"/>
  <c r="B819"/>
  <c r="A819"/>
  <c r="C818"/>
  <c r="B818"/>
  <c r="A818"/>
  <c r="C817"/>
  <c r="B817"/>
  <c r="A817"/>
  <c r="C816"/>
  <c r="B816"/>
  <c r="A816"/>
  <c r="C815"/>
  <c r="B815"/>
  <c r="A815"/>
  <c r="C814"/>
  <c r="B814"/>
  <c r="A814"/>
  <c r="C813"/>
  <c r="B813"/>
  <c r="A813"/>
  <c r="C812"/>
  <c r="B812"/>
  <c r="A812"/>
  <c r="C811"/>
  <c r="B811"/>
  <c r="A811"/>
  <c r="C810"/>
  <c r="B810"/>
  <c r="A810"/>
  <c r="C809"/>
  <c r="B809"/>
  <c r="A809"/>
  <c r="C808"/>
  <c r="B808"/>
  <c r="A808"/>
  <c r="C807"/>
  <c r="B807"/>
  <c r="A807"/>
  <c r="C806"/>
  <c r="B806"/>
  <c r="A806"/>
  <c r="C805"/>
  <c r="B805"/>
  <c r="A805"/>
  <c r="C804"/>
  <c r="B804"/>
  <c r="A804"/>
  <c r="C803"/>
  <c r="B803"/>
  <c r="A803"/>
  <c r="C802"/>
  <c r="B802"/>
  <c r="A802"/>
  <c r="C801"/>
  <c r="B801"/>
  <c r="A801"/>
  <c r="C800"/>
  <c r="B800"/>
  <c r="A800"/>
  <c r="C799"/>
  <c r="B799"/>
  <c r="A799"/>
  <c r="C798"/>
  <c r="B798"/>
  <c r="A798"/>
  <c r="C797"/>
  <c r="B797"/>
  <c r="A797"/>
  <c r="C796"/>
  <c r="B796"/>
  <c r="A796"/>
  <c r="C795"/>
  <c r="B795"/>
  <c r="A795"/>
  <c r="C794"/>
  <c r="B794"/>
  <c r="A794"/>
  <c r="C793"/>
  <c r="B793"/>
  <c r="A793"/>
  <c r="C792"/>
  <c r="B792"/>
  <c r="A792"/>
  <c r="C791"/>
  <c r="B791"/>
  <c r="A791"/>
  <c r="C790"/>
  <c r="B790"/>
  <c r="A790"/>
  <c r="C789"/>
  <c r="B789"/>
  <c r="A789"/>
  <c r="C788"/>
  <c r="B788"/>
  <c r="A788"/>
  <c r="C787"/>
  <c r="B787"/>
  <c r="A787"/>
  <c r="C786"/>
  <c r="B786"/>
  <c r="A786"/>
  <c r="C785"/>
  <c r="B785"/>
  <c r="A785"/>
  <c r="C784"/>
  <c r="B784"/>
  <c r="A784"/>
  <c r="C783"/>
  <c r="B783"/>
  <c r="A783"/>
  <c r="C782"/>
  <c r="B782"/>
  <c r="A782"/>
  <c r="C781"/>
  <c r="B781"/>
  <c r="A781"/>
  <c r="C780"/>
  <c r="B780"/>
  <c r="A780"/>
  <c r="C779"/>
  <c r="B779"/>
  <c r="A779"/>
  <c r="C778"/>
  <c r="B778"/>
  <c r="A778"/>
  <c r="C777"/>
  <c r="B777"/>
  <c r="A777"/>
  <c r="C776"/>
  <c r="B776"/>
  <c r="A776"/>
  <c r="C775"/>
  <c r="B775"/>
  <c r="A775"/>
  <c r="C774"/>
  <c r="B774"/>
  <c r="A774"/>
  <c r="C773"/>
  <c r="B773"/>
  <c r="A773"/>
  <c r="C772"/>
  <c r="B772"/>
  <c r="A772"/>
  <c r="C771"/>
  <c r="B771"/>
  <c r="A771"/>
  <c r="C770"/>
  <c r="B770"/>
  <c r="A770"/>
  <c r="C769"/>
  <c r="B769"/>
  <c r="A769"/>
  <c r="C768"/>
  <c r="B768"/>
  <c r="A768"/>
  <c r="C767"/>
  <c r="B767"/>
  <c r="A767"/>
  <c r="C766"/>
  <c r="B766"/>
  <c r="A766"/>
  <c r="C765"/>
  <c r="B765"/>
  <c r="A765"/>
  <c r="C764"/>
  <c r="B764"/>
  <c r="A764"/>
  <c r="C763"/>
  <c r="B763"/>
  <c r="A763"/>
  <c r="C762"/>
  <c r="B762"/>
  <c r="A762"/>
  <c r="C761"/>
  <c r="B761"/>
  <c r="A761"/>
  <c r="C760"/>
  <c r="B760"/>
  <c r="A760"/>
  <c r="C759"/>
  <c r="B759"/>
  <c r="A759"/>
  <c r="C758"/>
  <c r="B758"/>
  <c r="A758"/>
  <c r="C757"/>
  <c r="B757"/>
  <c r="A757"/>
  <c r="C756"/>
  <c r="B756"/>
  <c r="A756"/>
  <c r="C755"/>
  <c r="B755"/>
  <c r="A755"/>
  <c r="C754"/>
  <c r="B754"/>
  <c r="A754"/>
  <c r="C753"/>
  <c r="B753"/>
  <c r="A753"/>
  <c r="C752"/>
  <c r="B752"/>
  <c r="A752"/>
  <c r="C751"/>
  <c r="B751"/>
  <c r="A751"/>
  <c r="C750"/>
  <c r="B750"/>
  <c r="A750"/>
  <c r="C749"/>
  <c r="B749"/>
  <c r="A749"/>
  <c r="C748"/>
  <c r="B748"/>
  <c r="A748"/>
  <c r="C747"/>
  <c r="B747"/>
  <c r="A747"/>
  <c r="C746"/>
  <c r="B746"/>
  <c r="A746"/>
  <c r="C745"/>
  <c r="B745"/>
  <c r="A745"/>
  <c r="C744"/>
  <c r="B744"/>
  <c r="A744"/>
  <c r="C743"/>
  <c r="B743"/>
  <c r="A743"/>
  <c r="C742"/>
  <c r="B742"/>
  <c r="A742"/>
  <c r="C741"/>
  <c r="B741"/>
  <c r="A741"/>
  <c r="C740"/>
  <c r="B740"/>
  <c r="A740"/>
  <c r="C739"/>
  <c r="B739"/>
  <c r="A739"/>
  <c r="C738"/>
  <c r="B738"/>
  <c r="A738"/>
  <c r="C737"/>
  <c r="B737"/>
  <c r="A737"/>
  <c r="C736"/>
  <c r="B736"/>
  <c r="A736"/>
  <c r="C735"/>
  <c r="B735"/>
  <c r="A735"/>
  <c r="C734"/>
  <c r="B734"/>
  <c r="A734"/>
  <c r="C733"/>
  <c r="B733"/>
  <c r="A733"/>
  <c r="C732"/>
  <c r="B732"/>
  <c r="A732"/>
  <c r="C731"/>
  <c r="B731"/>
  <c r="A731"/>
  <c r="C730"/>
  <c r="B730"/>
  <c r="A730"/>
  <c r="C729"/>
  <c r="B729"/>
  <c r="A729"/>
  <c r="C728"/>
  <c r="B728"/>
  <c r="A728"/>
  <c r="C727"/>
  <c r="B727"/>
  <c r="A727"/>
  <c r="C726"/>
  <c r="B726"/>
  <c r="A726"/>
  <c r="C725"/>
  <c r="B725"/>
  <c r="A725"/>
  <c r="C724"/>
  <c r="B724"/>
  <c r="A724"/>
  <c r="C723"/>
  <c r="B723"/>
  <c r="A723"/>
  <c r="C722"/>
  <c r="B722"/>
  <c r="A722"/>
  <c r="C721"/>
  <c r="B721"/>
  <c r="A721"/>
  <c r="C720"/>
  <c r="B720"/>
  <c r="A720"/>
  <c r="C719"/>
  <c r="B719"/>
  <c r="A719"/>
  <c r="C718"/>
  <c r="B718"/>
  <c r="A718"/>
  <c r="C717"/>
  <c r="B717"/>
  <c r="A717"/>
  <c r="C716"/>
  <c r="B716"/>
  <c r="A716"/>
  <c r="C715"/>
  <c r="B715"/>
  <c r="A715"/>
  <c r="C714"/>
  <c r="B714"/>
  <c r="A714"/>
  <c r="C713"/>
  <c r="B713"/>
  <c r="A713"/>
  <c r="C712"/>
  <c r="B712"/>
  <c r="A712"/>
  <c r="C711"/>
  <c r="B711"/>
  <c r="A711"/>
  <c r="C710"/>
  <c r="B710"/>
  <c r="A710"/>
  <c r="C709"/>
  <c r="B709"/>
  <c r="A709"/>
  <c r="C708"/>
  <c r="B708"/>
  <c r="A708"/>
  <c r="C707"/>
  <c r="B707"/>
  <c r="A707"/>
  <c r="C706"/>
  <c r="B706"/>
  <c r="A706"/>
  <c r="C705"/>
  <c r="B705"/>
  <c r="A705"/>
  <c r="C704"/>
  <c r="B704"/>
  <c r="A704"/>
  <c r="C703"/>
  <c r="B703"/>
  <c r="A703"/>
  <c r="C702"/>
  <c r="B702"/>
  <c r="A702"/>
  <c r="C701"/>
  <c r="B701"/>
  <c r="A701"/>
  <c r="C700"/>
  <c r="B700"/>
  <c r="A700"/>
  <c r="C699"/>
  <c r="B699"/>
  <c r="A699"/>
  <c r="C698"/>
  <c r="B698"/>
  <c r="A698"/>
  <c r="C697"/>
  <c r="B697"/>
  <c r="A697"/>
  <c r="C696"/>
  <c r="B696"/>
  <c r="A696"/>
  <c r="C695"/>
  <c r="B695"/>
  <c r="A695"/>
  <c r="C694"/>
  <c r="B694"/>
  <c r="A694"/>
  <c r="C693"/>
  <c r="B693"/>
  <c r="A693"/>
  <c r="C692"/>
  <c r="B692"/>
  <c r="A692"/>
  <c r="C691"/>
  <c r="B691"/>
  <c r="A691"/>
  <c r="C690"/>
  <c r="B690"/>
  <c r="A690"/>
  <c r="C689"/>
  <c r="B689"/>
  <c r="A689"/>
  <c r="C688"/>
  <c r="B688"/>
  <c r="A688"/>
  <c r="C687"/>
  <c r="B687"/>
  <c r="A687"/>
  <c r="C686"/>
  <c r="B686"/>
  <c r="A686"/>
  <c r="C685"/>
  <c r="B685"/>
  <c r="A685"/>
  <c r="C684"/>
  <c r="B684"/>
  <c r="A684"/>
  <c r="C683"/>
  <c r="B683"/>
  <c r="A683"/>
  <c r="C682"/>
  <c r="B682"/>
  <c r="A682"/>
  <c r="C681"/>
  <c r="B681"/>
  <c r="A681"/>
  <c r="C680"/>
  <c r="B680"/>
  <c r="A680"/>
  <c r="C679"/>
  <c r="B679"/>
  <c r="A679"/>
  <c r="C678"/>
  <c r="B678"/>
  <c r="A678"/>
  <c r="C677"/>
  <c r="B677"/>
  <c r="A677"/>
  <c r="C676"/>
  <c r="B676"/>
  <c r="A676"/>
  <c r="C675"/>
  <c r="B675"/>
  <c r="A675"/>
  <c r="C674"/>
  <c r="B674"/>
  <c r="A674"/>
  <c r="C673"/>
  <c r="B673"/>
  <c r="A673"/>
  <c r="C672"/>
  <c r="B672"/>
  <c r="A672"/>
  <c r="C671"/>
  <c r="B671"/>
  <c r="A671"/>
  <c r="C670"/>
  <c r="B670"/>
  <c r="A670"/>
  <c r="C669"/>
  <c r="B669"/>
  <c r="A669"/>
  <c r="C668"/>
  <c r="B668"/>
  <c r="A668"/>
  <c r="C667"/>
  <c r="B667"/>
  <c r="A667"/>
  <c r="C666"/>
  <c r="B666"/>
  <c r="A666"/>
  <c r="C665"/>
  <c r="B665"/>
  <c r="A665"/>
  <c r="C664"/>
  <c r="B664"/>
  <c r="A664"/>
  <c r="C663"/>
  <c r="B663"/>
  <c r="A663"/>
  <c r="C662"/>
  <c r="B662"/>
  <c r="A662"/>
  <c r="C661"/>
  <c r="B661"/>
  <c r="A661"/>
  <c r="C660"/>
  <c r="B660"/>
  <c r="A660"/>
  <c r="C659"/>
  <c r="B659"/>
  <c r="A659"/>
  <c r="C658"/>
  <c r="B658"/>
  <c r="A658"/>
  <c r="C657"/>
  <c r="B657"/>
  <c r="A657"/>
  <c r="C656"/>
  <c r="B656"/>
  <c r="A656"/>
  <c r="C655"/>
  <c r="B655"/>
  <c r="A655"/>
  <c r="C654"/>
  <c r="B654"/>
  <c r="A654"/>
  <c r="C653"/>
  <c r="B653"/>
  <c r="A653"/>
  <c r="C652"/>
  <c r="B652"/>
  <c r="A652"/>
  <c r="C651"/>
  <c r="B651"/>
  <c r="A651"/>
  <c r="C650"/>
  <c r="B650"/>
  <c r="A650"/>
  <c r="C649"/>
  <c r="B649"/>
  <c r="A649"/>
  <c r="C648"/>
  <c r="B648"/>
  <c r="A648"/>
  <c r="C647"/>
  <c r="B647"/>
  <c r="A647"/>
  <c r="C646"/>
  <c r="B646"/>
  <c r="A646"/>
  <c r="C645"/>
  <c r="B645"/>
  <c r="A645"/>
  <c r="C644"/>
  <c r="B644"/>
  <c r="A644"/>
  <c r="C643"/>
  <c r="B643"/>
  <c r="A643"/>
  <c r="C642"/>
  <c r="B642"/>
  <c r="A642"/>
  <c r="C641"/>
  <c r="B641"/>
  <c r="A641"/>
  <c r="C640"/>
  <c r="B640"/>
  <c r="A640"/>
  <c r="C639"/>
  <c r="B639"/>
  <c r="A639"/>
  <c r="C638"/>
  <c r="B638"/>
  <c r="A638"/>
  <c r="C637"/>
  <c r="B637"/>
  <c r="A637"/>
  <c r="C636"/>
  <c r="B636"/>
  <c r="A636"/>
  <c r="C635"/>
  <c r="B635"/>
  <c r="A635"/>
  <c r="C634"/>
  <c r="B634"/>
  <c r="A634"/>
  <c r="C633"/>
  <c r="B633"/>
  <c r="A633"/>
  <c r="C632"/>
  <c r="B632"/>
  <c r="A632"/>
  <c r="C631"/>
  <c r="B631"/>
  <c r="A631"/>
  <c r="C630"/>
  <c r="B630"/>
  <c r="A630"/>
  <c r="C629"/>
  <c r="B629"/>
  <c r="A629"/>
  <c r="C628"/>
  <c r="B628"/>
  <c r="A628"/>
  <c r="C627"/>
  <c r="B627"/>
  <c r="A627"/>
  <c r="C626"/>
  <c r="B626"/>
  <c r="A626"/>
  <c r="C625"/>
  <c r="B625"/>
  <c r="A625"/>
  <c r="C624"/>
  <c r="B624"/>
  <c r="A624"/>
  <c r="C623"/>
  <c r="B623"/>
  <c r="A623"/>
  <c r="C622"/>
  <c r="B622"/>
  <c r="A622"/>
  <c r="C621"/>
  <c r="B621"/>
  <c r="A621"/>
  <c r="C620"/>
  <c r="B620"/>
  <c r="A620"/>
  <c r="C619"/>
  <c r="B619"/>
  <c r="A619"/>
  <c r="C618"/>
  <c r="B618"/>
  <c r="A618"/>
  <c r="C617"/>
  <c r="B617"/>
  <c r="A617"/>
  <c r="C616"/>
  <c r="B616"/>
  <c r="A616"/>
  <c r="C615"/>
  <c r="B615"/>
  <c r="A615"/>
  <c r="C614"/>
  <c r="B614"/>
  <c r="A614"/>
  <c r="C613"/>
  <c r="B613"/>
  <c r="A613"/>
  <c r="C612"/>
  <c r="B612"/>
  <c r="A612"/>
  <c r="C611"/>
  <c r="B611"/>
  <c r="A611"/>
  <c r="C610"/>
  <c r="B610"/>
  <c r="A610"/>
  <c r="C609"/>
  <c r="B609"/>
  <c r="A609"/>
  <c r="C608"/>
  <c r="B608"/>
  <c r="A608"/>
  <c r="C607"/>
  <c r="B607"/>
  <c r="A607"/>
  <c r="C606"/>
  <c r="B606"/>
  <c r="A606"/>
  <c r="C605"/>
  <c r="B605"/>
  <c r="A605"/>
  <c r="C604"/>
  <c r="B604"/>
  <c r="A604"/>
  <c r="C603"/>
  <c r="B603"/>
  <c r="A603"/>
  <c r="C602"/>
  <c r="B602"/>
  <c r="A602"/>
  <c r="C601"/>
  <c r="B601"/>
  <c r="A601"/>
  <c r="C600"/>
  <c r="B600"/>
  <c r="A600"/>
  <c r="C599"/>
  <c r="B599"/>
  <c r="A599"/>
  <c r="C598"/>
  <c r="B598"/>
  <c r="A598"/>
  <c r="C597"/>
  <c r="B597"/>
  <c r="A597"/>
  <c r="C596"/>
  <c r="B596"/>
  <c r="A596"/>
  <c r="C595"/>
  <c r="B595"/>
  <c r="A595"/>
  <c r="C594"/>
  <c r="B594"/>
  <c r="A594"/>
  <c r="C593"/>
  <c r="B593"/>
  <c r="A593"/>
  <c r="C592"/>
  <c r="B592"/>
  <c r="A592"/>
  <c r="C591"/>
  <c r="B591"/>
  <c r="A591"/>
  <c r="C590"/>
  <c r="B590"/>
  <c r="A590"/>
  <c r="C589"/>
  <c r="B589"/>
  <c r="A589"/>
  <c r="C588"/>
  <c r="B588"/>
  <c r="A588"/>
  <c r="C587"/>
  <c r="B587"/>
  <c r="A587"/>
  <c r="C586"/>
  <c r="B586"/>
  <c r="A586"/>
  <c r="C585"/>
  <c r="B585"/>
  <c r="A585"/>
  <c r="C584"/>
  <c r="B584"/>
  <c r="A584"/>
  <c r="C583"/>
  <c r="B583"/>
  <c r="A583"/>
  <c r="C582"/>
  <c r="B582"/>
  <c r="A582"/>
  <c r="C581"/>
  <c r="B581"/>
  <c r="A581"/>
  <c r="C580"/>
  <c r="B580"/>
  <c r="A580"/>
  <c r="C579"/>
  <c r="B579"/>
  <c r="A579"/>
  <c r="C578"/>
  <c r="B578"/>
  <c r="A578"/>
  <c r="C577"/>
  <c r="B577"/>
  <c r="A577"/>
  <c r="C576"/>
  <c r="B576"/>
  <c r="A576"/>
  <c r="C575"/>
  <c r="B575"/>
  <c r="A575"/>
  <c r="C574"/>
  <c r="B574"/>
  <c r="A574"/>
  <c r="C573"/>
  <c r="B573"/>
  <c r="A573"/>
  <c r="C572"/>
  <c r="B572"/>
  <c r="A572"/>
  <c r="C571"/>
  <c r="B571"/>
  <c r="A571"/>
  <c r="C570"/>
  <c r="B570"/>
  <c r="A570"/>
  <c r="C569"/>
  <c r="B569"/>
  <c r="A569"/>
  <c r="C568"/>
  <c r="B568"/>
  <c r="A568"/>
  <c r="C567"/>
  <c r="B567"/>
  <c r="A567"/>
  <c r="C566"/>
  <c r="B566"/>
  <c r="A566"/>
  <c r="C565"/>
  <c r="B565"/>
  <c r="A565"/>
  <c r="C564"/>
  <c r="B564"/>
  <c r="A564"/>
  <c r="C563"/>
  <c r="B563"/>
  <c r="A563"/>
  <c r="C562"/>
  <c r="B562"/>
  <c r="A562"/>
  <c r="C561"/>
  <c r="B561"/>
  <c r="A561"/>
  <c r="C560"/>
  <c r="B560"/>
  <c r="A560"/>
  <c r="C559"/>
  <c r="B559"/>
  <c r="A559"/>
  <c r="C558"/>
  <c r="B558"/>
  <c r="A558"/>
  <c r="C557"/>
  <c r="B557"/>
  <c r="A557"/>
  <c r="C556"/>
  <c r="B556"/>
  <c r="A556"/>
  <c r="C555"/>
  <c r="B555"/>
  <c r="A555"/>
  <c r="C554"/>
  <c r="B554"/>
  <c r="A554"/>
  <c r="C553"/>
  <c r="B553"/>
  <c r="A553"/>
  <c r="C552"/>
  <c r="B552"/>
  <c r="A552"/>
  <c r="C551"/>
  <c r="B551"/>
  <c r="A551"/>
  <c r="C550"/>
  <c r="B550"/>
  <c r="A550"/>
  <c r="C549"/>
  <c r="B549"/>
  <c r="A549"/>
  <c r="C548"/>
  <c r="B548"/>
  <c r="A548"/>
  <c r="C547"/>
  <c r="B547"/>
  <c r="A547"/>
  <c r="C546"/>
  <c r="B546"/>
  <c r="A546"/>
  <c r="C545"/>
  <c r="B545"/>
  <c r="A545"/>
  <c r="C544"/>
  <c r="B544"/>
  <c r="A544"/>
  <c r="C543"/>
  <c r="B543"/>
  <c r="A543"/>
  <c r="C542"/>
  <c r="B542"/>
  <c r="A542"/>
  <c r="C541"/>
  <c r="B541"/>
  <c r="A541"/>
  <c r="C540"/>
  <c r="B540"/>
  <c r="A540"/>
  <c r="C539"/>
  <c r="B539"/>
  <c r="A539"/>
  <c r="C538"/>
  <c r="B538"/>
  <c r="A538"/>
  <c r="C537"/>
  <c r="B537"/>
  <c r="A537"/>
  <c r="C536"/>
  <c r="B536"/>
  <c r="A536"/>
  <c r="C535"/>
  <c r="B535"/>
  <c r="A535"/>
  <c r="C534"/>
  <c r="B534"/>
  <c r="A534"/>
  <c r="C533"/>
  <c r="B533"/>
  <c r="A533"/>
  <c r="C532"/>
  <c r="B532"/>
  <c r="A532"/>
  <c r="C531"/>
  <c r="B531"/>
  <c r="A531"/>
  <c r="C530"/>
  <c r="B530"/>
  <c r="A530"/>
  <c r="C529"/>
  <c r="B529"/>
  <c r="A529"/>
  <c r="C528"/>
  <c r="B528"/>
  <c r="A528"/>
  <c r="C527"/>
  <c r="B527"/>
  <c r="A527"/>
  <c r="C526"/>
  <c r="B526"/>
  <c r="A526"/>
  <c r="C525"/>
  <c r="B525"/>
  <c r="A525"/>
  <c r="C524"/>
  <c r="B524"/>
  <c r="A524"/>
  <c r="C523"/>
  <c r="B523"/>
  <c r="A523"/>
  <c r="C522"/>
  <c r="B522"/>
  <c r="A522"/>
  <c r="C521"/>
  <c r="B521"/>
  <c r="A521"/>
  <c r="C520"/>
  <c r="B520"/>
  <c r="A520"/>
  <c r="C519"/>
  <c r="B519"/>
  <c r="A519"/>
  <c r="C518"/>
  <c r="B518"/>
  <c r="A518"/>
  <c r="C517"/>
  <c r="B517"/>
  <c r="A517"/>
  <c r="C516"/>
  <c r="B516"/>
  <c r="A516"/>
  <c r="C515"/>
  <c r="B515"/>
  <c r="A515"/>
  <c r="C514"/>
  <c r="B514"/>
  <c r="A514"/>
  <c r="C513"/>
  <c r="B513"/>
  <c r="A513"/>
  <c r="C512"/>
  <c r="B512"/>
  <c r="A512"/>
  <c r="C511"/>
  <c r="B511"/>
  <c r="A511"/>
  <c r="C510"/>
  <c r="B510"/>
  <c r="A510"/>
  <c r="C509"/>
  <c r="B509"/>
  <c r="A509"/>
  <c r="C508"/>
  <c r="B508"/>
  <c r="A508"/>
  <c r="C507"/>
  <c r="B507"/>
  <c r="A507"/>
  <c r="C506"/>
  <c r="B506"/>
  <c r="A506"/>
  <c r="C505"/>
  <c r="B505"/>
  <c r="A505"/>
  <c r="C504"/>
  <c r="B504"/>
  <c r="A504"/>
  <c r="C503"/>
  <c r="B503"/>
  <c r="A503"/>
  <c r="C502"/>
  <c r="B502"/>
  <c r="A502"/>
  <c r="C501"/>
  <c r="B501"/>
  <c r="A501"/>
  <c r="C500"/>
  <c r="B500"/>
  <c r="A500"/>
  <c r="C499"/>
  <c r="B499"/>
  <c r="A499"/>
  <c r="C498"/>
  <c r="B498"/>
  <c r="A498"/>
  <c r="C497"/>
  <c r="B497"/>
  <c r="A497"/>
  <c r="C496"/>
  <c r="B496"/>
  <c r="A496"/>
  <c r="C495"/>
  <c r="B495"/>
  <c r="A495"/>
  <c r="C494"/>
  <c r="B494"/>
  <c r="A494"/>
  <c r="C493"/>
  <c r="B493"/>
  <c r="A493"/>
  <c r="C492"/>
  <c r="B492"/>
  <c r="A492"/>
  <c r="C491"/>
  <c r="B491"/>
  <c r="A491"/>
  <c r="C490"/>
  <c r="B490"/>
  <c r="A490"/>
  <c r="C489"/>
  <c r="B489"/>
  <c r="A489"/>
  <c r="C488"/>
  <c r="B488"/>
  <c r="A488"/>
  <c r="C487"/>
  <c r="B487"/>
  <c r="A487"/>
  <c r="C486"/>
  <c r="B486"/>
  <c r="A486"/>
  <c r="C485"/>
  <c r="B485"/>
  <c r="A485"/>
  <c r="C484"/>
  <c r="B484"/>
  <c r="A484"/>
  <c r="C483"/>
  <c r="B483"/>
  <c r="A483"/>
  <c r="C482"/>
  <c r="B482"/>
  <c r="A482"/>
  <c r="C481"/>
  <c r="B481"/>
  <c r="A481"/>
  <c r="C480"/>
  <c r="B480"/>
  <c r="A480"/>
  <c r="C479"/>
  <c r="B479"/>
  <c r="A479"/>
  <c r="C478"/>
  <c r="B478"/>
  <c r="A478"/>
  <c r="C477"/>
  <c r="B477"/>
  <c r="A477"/>
  <c r="C476"/>
  <c r="B476"/>
  <c r="A476"/>
  <c r="C475"/>
  <c r="B475"/>
  <c r="A475"/>
  <c r="C474"/>
  <c r="B474"/>
  <c r="A474"/>
  <c r="C473"/>
  <c r="B473"/>
  <c r="A473"/>
  <c r="C472"/>
  <c r="B472"/>
  <c r="A472"/>
  <c r="C471"/>
  <c r="B471"/>
  <c r="A471"/>
  <c r="C470"/>
  <c r="B470"/>
  <c r="A470"/>
  <c r="C469"/>
  <c r="B469"/>
  <c r="A469"/>
  <c r="C468"/>
  <c r="B468"/>
  <c r="A468"/>
  <c r="C467"/>
  <c r="B467"/>
  <c r="A467"/>
  <c r="C466"/>
  <c r="B466"/>
  <c r="A466"/>
  <c r="C465"/>
  <c r="B465"/>
  <c r="A465"/>
  <c r="C464"/>
  <c r="B464"/>
  <c r="A464"/>
  <c r="C463"/>
  <c r="B463"/>
  <c r="A463"/>
  <c r="C462"/>
  <c r="B462"/>
  <c r="A462"/>
  <c r="C461"/>
  <c r="B461"/>
  <c r="A461"/>
  <c r="C460"/>
  <c r="B460"/>
  <c r="A460"/>
  <c r="C459"/>
  <c r="B459"/>
  <c r="A459"/>
  <c r="C458"/>
  <c r="B458"/>
  <c r="A458"/>
  <c r="C457"/>
  <c r="B457"/>
  <c r="A457"/>
  <c r="C456"/>
  <c r="B456"/>
  <c r="A456"/>
  <c r="C455"/>
  <c r="B455"/>
  <c r="A455"/>
  <c r="C454"/>
  <c r="B454"/>
  <c r="A454"/>
  <c r="C453"/>
  <c r="B453"/>
  <c r="A453"/>
  <c r="C452"/>
  <c r="B452"/>
  <c r="A452"/>
  <c r="C451"/>
  <c r="B451"/>
  <c r="A451"/>
  <c r="C450"/>
  <c r="B450"/>
  <c r="A450"/>
  <c r="C449"/>
  <c r="B449"/>
  <c r="A449"/>
  <c r="C448"/>
  <c r="B448"/>
  <c r="A448"/>
  <c r="C447"/>
  <c r="B447"/>
  <c r="A447"/>
  <c r="C446"/>
  <c r="B446"/>
  <c r="A446"/>
  <c r="C445"/>
  <c r="B445"/>
  <c r="A445"/>
  <c r="C444"/>
  <c r="B444"/>
  <c r="A444"/>
  <c r="C443"/>
  <c r="B443"/>
  <c r="A443"/>
  <c r="C442"/>
  <c r="B442"/>
  <c r="A442"/>
  <c r="C441"/>
  <c r="B441"/>
  <c r="A441"/>
  <c r="C440"/>
  <c r="B440"/>
  <c r="A440"/>
  <c r="C439"/>
  <c r="B439"/>
  <c r="A439"/>
  <c r="C438"/>
  <c r="B438"/>
  <c r="A438"/>
  <c r="C437"/>
  <c r="B437"/>
  <c r="A437"/>
  <c r="C436"/>
  <c r="B436"/>
  <c r="A436"/>
  <c r="C435"/>
  <c r="B435"/>
  <c r="A435"/>
  <c r="C434"/>
  <c r="B434"/>
  <c r="A434"/>
  <c r="C433"/>
  <c r="B433"/>
  <c r="A433"/>
  <c r="C432"/>
  <c r="B432"/>
  <c r="A432"/>
  <c r="C431"/>
  <c r="B431"/>
  <c r="A431"/>
  <c r="C430"/>
  <c r="B430"/>
  <c r="A430"/>
  <c r="C429"/>
  <c r="B429"/>
  <c r="A429"/>
  <c r="C428"/>
  <c r="B428"/>
  <c r="A428"/>
  <c r="C427"/>
  <c r="B427"/>
  <c r="A427"/>
  <c r="C426"/>
  <c r="B426"/>
  <c r="A426"/>
  <c r="C425"/>
  <c r="B425"/>
  <c r="A425"/>
  <c r="C424"/>
  <c r="B424"/>
  <c r="A424"/>
  <c r="C423"/>
  <c r="B423"/>
  <c r="A423"/>
  <c r="C422"/>
  <c r="B422"/>
  <c r="A422"/>
  <c r="C421"/>
  <c r="B421"/>
  <c r="A421"/>
  <c r="C420"/>
  <c r="B420"/>
  <c r="A420"/>
  <c r="C419"/>
  <c r="B419"/>
  <c r="A419"/>
  <c r="C418"/>
  <c r="B418"/>
  <c r="A418"/>
  <c r="C417"/>
  <c r="B417"/>
  <c r="A417"/>
  <c r="C416"/>
  <c r="B416"/>
  <c r="A416"/>
  <c r="C415"/>
  <c r="B415"/>
  <c r="A415"/>
  <c r="C414"/>
  <c r="B414"/>
  <c r="A414"/>
  <c r="C413"/>
  <c r="B413"/>
  <c r="A413"/>
  <c r="C412"/>
  <c r="B412"/>
  <c r="A412"/>
  <c r="C411"/>
  <c r="B411"/>
  <c r="A411"/>
  <c r="C410"/>
  <c r="B410"/>
  <c r="A410"/>
  <c r="C409"/>
  <c r="B409"/>
  <c r="A409"/>
  <c r="C408"/>
  <c r="B408"/>
  <c r="A408"/>
  <c r="C407"/>
  <c r="B407"/>
  <c r="A407"/>
  <c r="C406"/>
  <c r="B406"/>
  <c r="A406"/>
  <c r="C405"/>
  <c r="B405"/>
  <c r="A405"/>
  <c r="C404"/>
  <c r="B404"/>
  <c r="A404"/>
  <c r="C403"/>
  <c r="B403"/>
  <c r="A403"/>
  <c r="C402"/>
  <c r="B402"/>
  <c r="A402"/>
  <c r="C401"/>
  <c r="B401"/>
  <c r="A401"/>
  <c r="C400"/>
  <c r="B400"/>
  <c r="A400"/>
  <c r="C399"/>
  <c r="B399"/>
  <c r="A399"/>
  <c r="C398"/>
  <c r="B398"/>
  <c r="A398"/>
  <c r="C397"/>
  <c r="B397"/>
  <c r="A397"/>
  <c r="C396"/>
  <c r="B396"/>
  <c r="A396"/>
  <c r="C395"/>
  <c r="B395"/>
  <c r="A395"/>
  <c r="C394"/>
  <c r="B394"/>
  <c r="A394"/>
  <c r="C393"/>
  <c r="B393"/>
  <c r="A393"/>
  <c r="C392"/>
  <c r="B392"/>
  <c r="A392"/>
  <c r="C391"/>
  <c r="B391"/>
  <c r="A391"/>
  <c r="C390"/>
  <c r="B390"/>
  <c r="A390"/>
  <c r="C389"/>
  <c r="B389"/>
  <c r="A389"/>
  <c r="C388"/>
  <c r="B388"/>
  <c r="A388"/>
  <c r="C387"/>
  <c r="B387"/>
  <c r="A387"/>
  <c r="C386"/>
  <c r="B386"/>
  <c r="A386"/>
  <c r="C385"/>
  <c r="B385"/>
  <c r="A385"/>
  <c r="C384"/>
  <c r="B384"/>
  <c r="A384"/>
  <c r="C383"/>
  <c r="B383"/>
  <c r="A383"/>
  <c r="C382"/>
  <c r="B382"/>
  <c r="A382"/>
  <c r="C381"/>
  <c r="B381"/>
  <c r="A381"/>
  <c r="C380"/>
  <c r="B380"/>
  <c r="A380"/>
  <c r="C379"/>
  <c r="B379"/>
  <c r="A379"/>
  <c r="C378"/>
  <c r="B378"/>
  <c r="A378"/>
  <c r="C377"/>
  <c r="B377"/>
  <c r="A377"/>
  <c r="C376"/>
  <c r="B376"/>
  <c r="A376"/>
  <c r="C375"/>
  <c r="B375"/>
  <c r="A375"/>
  <c r="C374"/>
  <c r="B374"/>
  <c r="A374"/>
  <c r="C373"/>
  <c r="B373"/>
  <c r="A373"/>
  <c r="C372"/>
  <c r="B372"/>
  <c r="A372"/>
  <c r="C371"/>
  <c r="B371"/>
  <c r="A371"/>
  <c r="C370"/>
  <c r="B370"/>
  <c r="A370"/>
  <c r="C369"/>
  <c r="B369"/>
  <c r="A369"/>
  <c r="C368"/>
  <c r="B368"/>
  <c r="A368"/>
  <c r="C367"/>
  <c r="B367"/>
  <c r="A367"/>
  <c r="C366"/>
  <c r="B366"/>
  <c r="A366"/>
  <c r="C365"/>
  <c r="B365"/>
  <c r="A365"/>
  <c r="C364"/>
  <c r="B364"/>
  <c r="A364"/>
  <c r="C363"/>
  <c r="B363"/>
  <c r="A363"/>
  <c r="C362"/>
  <c r="B362"/>
  <c r="A362"/>
  <c r="C361"/>
  <c r="B361"/>
  <c r="A361"/>
  <c r="C360"/>
  <c r="B360"/>
  <c r="A360"/>
  <c r="C359"/>
  <c r="B359"/>
  <c r="A359"/>
  <c r="C358"/>
  <c r="B358"/>
  <c r="A358"/>
  <c r="C357"/>
  <c r="B357"/>
  <c r="A357"/>
  <c r="C356"/>
  <c r="B356"/>
  <c r="A356"/>
  <c r="C355"/>
  <c r="B355"/>
  <c r="A355"/>
  <c r="C354"/>
  <c r="B354"/>
  <c r="A354"/>
  <c r="C353"/>
  <c r="B353"/>
  <c r="A353"/>
  <c r="C352"/>
  <c r="B352"/>
  <c r="A352"/>
  <c r="C351"/>
  <c r="B351"/>
  <c r="A351"/>
  <c r="C350"/>
  <c r="B350"/>
  <c r="A350"/>
  <c r="C349"/>
  <c r="B349"/>
  <c r="A349"/>
  <c r="C348"/>
  <c r="B348"/>
  <c r="A348"/>
  <c r="C347"/>
  <c r="B347"/>
  <c r="A347"/>
  <c r="C346"/>
  <c r="B346"/>
  <c r="A346"/>
  <c r="C345"/>
  <c r="B345"/>
  <c r="A345"/>
  <c r="C344"/>
  <c r="B344"/>
  <c r="A344"/>
  <c r="C343"/>
  <c r="B343"/>
  <c r="A343"/>
  <c r="C342"/>
  <c r="B342"/>
  <c r="A342"/>
  <c r="C341"/>
  <c r="B341"/>
  <c r="A341"/>
  <c r="C340"/>
  <c r="B340"/>
  <c r="A340"/>
  <c r="C339"/>
  <c r="B339"/>
  <c r="A339"/>
  <c r="C338"/>
  <c r="B338"/>
  <c r="A338"/>
  <c r="C337"/>
  <c r="B337"/>
  <c r="A337"/>
  <c r="C336"/>
  <c r="B336"/>
  <c r="A336"/>
  <c r="C335"/>
  <c r="B335"/>
  <c r="A335"/>
  <c r="C334"/>
  <c r="B334"/>
  <c r="A334"/>
  <c r="C333"/>
  <c r="B333"/>
  <c r="A333"/>
  <c r="C332"/>
  <c r="B332"/>
  <c r="A332"/>
  <c r="C331"/>
  <c r="B331"/>
  <c r="A331"/>
  <c r="C330"/>
  <c r="B330"/>
  <c r="A330"/>
  <c r="C329"/>
  <c r="B329"/>
  <c r="A329"/>
  <c r="C328"/>
  <c r="B328"/>
  <c r="A328"/>
  <c r="C327"/>
  <c r="B327"/>
  <c r="A327"/>
  <c r="C326"/>
  <c r="B326"/>
  <c r="A326"/>
  <c r="C325"/>
  <c r="B325"/>
  <c r="A325"/>
  <c r="C324"/>
  <c r="B324"/>
  <c r="A324"/>
  <c r="C323"/>
  <c r="B323"/>
  <c r="A323"/>
  <c r="C322"/>
  <c r="B322"/>
  <c r="A322"/>
  <c r="C321"/>
  <c r="B321"/>
  <c r="A321"/>
  <c r="C320"/>
  <c r="B320"/>
  <c r="A320"/>
  <c r="C319"/>
  <c r="B319"/>
  <c r="A319"/>
  <c r="C318"/>
  <c r="B318"/>
  <c r="A318"/>
  <c r="C317"/>
  <c r="B317"/>
  <c r="A317"/>
  <c r="C316"/>
  <c r="B316"/>
  <c r="A316"/>
  <c r="C315"/>
  <c r="B315"/>
  <c r="A315"/>
  <c r="C314"/>
  <c r="B314"/>
  <c r="A314"/>
  <c r="C313"/>
  <c r="B313"/>
  <c r="A313"/>
  <c r="C312"/>
  <c r="B312"/>
  <c r="A312"/>
  <c r="C311"/>
  <c r="B311"/>
  <c r="A311"/>
  <c r="C310"/>
  <c r="B310"/>
  <c r="A310"/>
  <c r="C309"/>
  <c r="B309"/>
  <c r="A309"/>
  <c r="C308"/>
  <c r="B308"/>
  <c r="A308"/>
  <c r="C307"/>
  <c r="B307"/>
  <c r="A307"/>
  <c r="C306"/>
  <c r="B306"/>
  <c r="A306"/>
  <c r="C305"/>
  <c r="B305"/>
  <c r="A305"/>
  <c r="C304"/>
  <c r="B304"/>
  <c r="A304"/>
  <c r="C303"/>
  <c r="B303"/>
  <c r="A303"/>
  <c r="C302"/>
  <c r="B302"/>
  <c r="A302"/>
  <c r="C301"/>
  <c r="B301"/>
  <c r="A301"/>
  <c r="C300"/>
  <c r="B300"/>
  <c r="A300"/>
  <c r="C299"/>
  <c r="B299"/>
  <c r="A299"/>
  <c r="C298"/>
  <c r="B298"/>
  <c r="A298"/>
  <c r="C297"/>
  <c r="B297"/>
  <c r="A297"/>
  <c r="C296"/>
  <c r="B296"/>
  <c r="A296"/>
  <c r="C295"/>
  <c r="B295"/>
  <c r="A295"/>
  <c r="C294"/>
  <c r="B294"/>
  <c r="A294"/>
  <c r="C293"/>
  <c r="B293"/>
  <c r="A293"/>
  <c r="C292"/>
  <c r="B292"/>
  <c r="A292"/>
  <c r="C291"/>
  <c r="B291"/>
  <c r="A291"/>
  <c r="C290"/>
  <c r="B290"/>
  <c r="A290"/>
  <c r="C289"/>
  <c r="B289"/>
  <c r="A289"/>
  <c r="C288"/>
  <c r="B288"/>
  <c r="A288"/>
  <c r="C287"/>
  <c r="B287"/>
  <c r="A287"/>
  <c r="C286"/>
  <c r="B286"/>
  <c r="A286"/>
  <c r="C285"/>
  <c r="B285"/>
  <c r="A285"/>
  <c r="C284"/>
  <c r="B284"/>
  <c r="A284"/>
  <c r="C283"/>
  <c r="B283"/>
  <c r="A283"/>
  <c r="C282"/>
  <c r="B282"/>
  <c r="A282"/>
  <c r="C281"/>
  <c r="B281"/>
  <c r="A281"/>
  <c r="C280"/>
  <c r="B280"/>
  <c r="A280"/>
  <c r="C279"/>
  <c r="B279"/>
  <c r="A279"/>
  <c r="C278"/>
  <c r="B278"/>
  <c r="A278"/>
  <c r="C277"/>
  <c r="B277"/>
  <c r="A277"/>
  <c r="C276"/>
  <c r="B276"/>
  <c r="A276"/>
  <c r="C275"/>
  <c r="B275"/>
  <c r="A275"/>
  <c r="C274"/>
  <c r="B274"/>
  <c r="A274"/>
  <c r="C273"/>
  <c r="B273"/>
  <c r="A273"/>
  <c r="C272"/>
  <c r="B272"/>
  <c r="A272"/>
  <c r="C271"/>
  <c r="B271"/>
  <c r="A271"/>
  <c r="C270"/>
  <c r="B270"/>
  <c r="A270"/>
  <c r="C269"/>
  <c r="B269"/>
  <c r="A269"/>
  <c r="C268"/>
  <c r="B268"/>
  <c r="A268"/>
  <c r="C267"/>
  <c r="B267"/>
  <c r="A267"/>
  <c r="C266"/>
  <c r="B266"/>
  <c r="A266"/>
  <c r="C265"/>
  <c r="B265"/>
  <c r="A265"/>
  <c r="C264"/>
  <c r="B264"/>
  <c r="A264"/>
  <c r="C263"/>
  <c r="B263"/>
  <c r="A263"/>
  <c r="C262"/>
  <c r="B262"/>
  <c r="A262"/>
  <c r="C261"/>
  <c r="B261"/>
  <c r="A261"/>
  <c r="C260"/>
  <c r="B260"/>
  <c r="A260"/>
  <c r="C259"/>
  <c r="B259"/>
  <c r="A259"/>
  <c r="C258"/>
  <c r="B258"/>
  <c r="A258"/>
  <c r="C257"/>
  <c r="B257"/>
  <c r="A257"/>
  <c r="C256"/>
  <c r="B256"/>
  <c r="A256"/>
  <c r="C255"/>
  <c r="B255"/>
  <c r="A255"/>
  <c r="C254"/>
  <c r="B254"/>
  <c r="A254"/>
  <c r="C253"/>
  <c r="B253"/>
  <c r="A253"/>
  <c r="C252"/>
  <c r="B252"/>
  <c r="A252"/>
  <c r="C251"/>
  <c r="B251"/>
  <c r="A251"/>
  <c r="C250"/>
  <c r="B250"/>
  <c r="A250"/>
  <c r="C249"/>
  <c r="B249"/>
  <c r="A249"/>
  <c r="C248"/>
  <c r="B248"/>
  <c r="A248"/>
  <c r="C247"/>
  <c r="B247"/>
  <c r="A247"/>
  <c r="C246"/>
  <c r="B246"/>
  <c r="A246"/>
  <c r="C245"/>
  <c r="B245"/>
  <c r="A245"/>
  <c r="C244"/>
  <c r="B244"/>
  <c r="A244"/>
  <c r="C243"/>
  <c r="B243"/>
  <c r="A243"/>
  <c r="C242"/>
  <c r="B242"/>
  <c r="A242"/>
  <c r="C241"/>
  <c r="B241"/>
  <c r="A241"/>
  <c r="C240"/>
  <c r="B240"/>
  <c r="A240"/>
  <c r="C239"/>
  <c r="B239"/>
  <c r="A239"/>
  <c r="C238"/>
  <c r="B238"/>
  <c r="A238"/>
  <c r="C237"/>
  <c r="B237"/>
  <c r="A237"/>
  <c r="C236"/>
  <c r="B236"/>
  <c r="A236"/>
  <c r="C235"/>
  <c r="B235"/>
  <c r="A235"/>
  <c r="C234"/>
  <c r="B234"/>
  <c r="A234"/>
  <c r="C233"/>
  <c r="B233"/>
  <c r="A233"/>
  <c r="C232"/>
  <c r="B232"/>
  <c r="A232"/>
  <c r="C231"/>
  <c r="B231"/>
  <c r="A231"/>
  <c r="C230"/>
  <c r="B230"/>
  <c r="A230"/>
  <c r="C229"/>
  <c r="B229"/>
  <c r="A229"/>
  <c r="C228"/>
  <c r="B228"/>
  <c r="A228"/>
  <c r="C227"/>
  <c r="B227"/>
  <c r="A227"/>
  <c r="C226"/>
  <c r="B226"/>
  <c r="A226"/>
  <c r="C225"/>
  <c r="B225"/>
  <c r="A225"/>
  <c r="C224"/>
  <c r="B224"/>
  <c r="A224"/>
  <c r="C223"/>
  <c r="B223"/>
  <c r="A223"/>
  <c r="C222"/>
  <c r="B222"/>
  <c r="A222"/>
  <c r="C221"/>
  <c r="B221"/>
  <c r="A221"/>
  <c r="C220"/>
  <c r="B220"/>
  <c r="A220"/>
  <c r="C219"/>
  <c r="B219"/>
  <c r="A219"/>
  <c r="C218"/>
  <c r="B218"/>
  <c r="A218"/>
  <c r="C217"/>
  <c r="B217"/>
  <c r="A217"/>
  <c r="C216"/>
  <c r="B216"/>
  <c r="A216"/>
  <c r="C215"/>
  <c r="B215"/>
  <c r="A215"/>
  <c r="C214"/>
  <c r="B214"/>
  <c r="A214"/>
  <c r="C213"/>
  <c r="B213"/>
  <c r="A213"/>
  <c r="C212"/>
  <c r="B212"/>
  <c r="A212"/>
  <c r="C211"/>
  <c r="B211"/>
  <c r="A211"/>
  <c r="C210"/>
  <c r="B210"/>
  <c r="A210"/>
  <c r="C209"/>
  <c r="B209"/>
  <c r="A209"/>
  <c r="C208"/>
  <c r="B208"/>
  <c r="A208"/>
  <c r="C207"/>
  <c r="B207"/>
  <c r="A207"/>
  <c r="C206"/>
  <c r="B206"/>
  <c r="A206"/>
  <c r="C205"/>
  <c r="B205"/>
  <c r="A205"/>
  <c r="C204"/>
  <c r="B204"/>
  <c r="A204"/>
  <c r="C203"/>
  <c r="B203"/>
  <c r="A203"/>
  <c r="C202"/>
  <c r="B202"/>
  <c r="A202"/>
  <c r="C201"/>
  <c r="B201"/>
  <c r="A201"/>
  <c r="C200"/>
  <c r="B200"/>
  <c r="A200"/>
  <c r="C199"/>
  <c r="B199"/>
  <c r="A199"/>
  <c r="C198"/>
  <c r="B198"/>
  <c r="A198"/>
  <c r="C197"/>
  <c r="B197"/>
  <c r="A197"/>
  <c r="C196"/>
  <c r="B196"/>
  <c r="A196"/>
  <c r="C195"/>
  <c r="B195"/>
  <c r="A195"/>
  <c r="C194"/>
  <c r="B194"/>
  <c r="A194"/>
  <c r="C193"/>
  <c r="B193"/>
  <c r="A193"/>
  <c r="C192"/>
  <c r="B192"/>
  <c r="A192"/>
  <c r="C191"/>
  <c r="B191"/>
  <c r="A191"/>
  <c r="C190"/>
  <c r="B190"/>
  <c r="A190"/>
  <c r="C189"/>
  <c r="B189"/>
  <c r="A189"/>
  <c r="C188"/>
  <c r="B188"/>
  <c r="A188"/>
  <c r="C187"/>
  <c r="B187"/>
  <c r="A187"/>
  <c r="C186"/>
  <c r="B186"/>
  <c r="A186"/>
  <c r="C185"/>
  <c r="B185"/>
  <c r="A185"/>
  <c r="C184"/>
  <c r="B184"/>
  <c r="A184"/>
  <c r="C183"/>
  <c r="B183"/>
  <c r="A183"/>
  <c r="C182"/>
  <c r="B182"/>
  <c r="A182"/>
  <c r="C181"/>
  <c r="B181"/>
  <c r="A181"/>
  <c r="C180"/>
  <c r="B180"/>
  <c r="A180"/>
  <c r="C179"/>
  <c r="B179"/>
  <c r="A179"/>
  <c r="C178"/>
  <c r="B178"/>
  <c r="A178"/>
  <c r="C177"/>
  <c r="B177"/>
  <c r="A177"/>
  <c r="C176"/>
  <c r="B176"/>
  <c r="A176"/>
  <c r="C175"/>
  <c r="B175"/>
  <c r="A175"/>
  <c r="C174"/>
  <c r="B174"/>
  <c r="A174"/>
  <c r="C173"/>
  <c r="B173"/>
  <c r="A173"/>
  <c r="C172"/>
  <c r="B172"/>
  <c r="A172"/>
  <c r="C171"/>
  <c r="B171"/>
  <c r="A171"/>
  <c r="C170"/>
  <c r="B170"/>
  <c r="A170"/>
  <c r="C169"/>
  <c r="B169"/>
  <c r="A169"/>
  <c r="C168"/>
  <c r="B168"/>
  <c r="A168"/>
  <c r="C167"/>
  <c r="B167"/>
  <c r="A167"/>
  <c r="C166"/>
  <c r="B166"/>
  <c r="A166"/>
  <c r="C165"/>
  <c r="B165"/>
  <c r="A165"/>
  <c r="C164"/>
  <c r="B164"/>
  <c r="A164"/>
  <c r="C163"/>
  <c r="B163"/>
  <c r="A163"/>
  <c r="C162"/>
  <c r="B162"/>
  <c r="A162"/>
  <c r="C161"/>
  <c r="B161"/>
  <c r="A161"/>
  <c r="C160"/>
  <c r="B160"/>
  <c r="A160"/>
  <c r="C159"/>
  <c r="B159"/>
  <c r="A159"/>
  <c r="C158"/>
  <c r="B158"/>
  <c r="A158"/>
  <c r="C157"/>
  <c r="B157"/>
  <c r="A157"/>
  <c r="C156"/>
  <c r="B156"/>
  <c r="A156"/>
  <c r="C155"/>
  <c r="B155"/>
  <c r="A155"/>
  <c r="C154"/>
  <c r="B154"/>
  <c r="A154"/>
  <c r="C153"/>
  <c r="B153"/>
  <c r="A153"/>
  <c r="C152"/>
  <c r="B152"/>
  <c r="A152"/>
  <c r="C151"/>
  <c r="B151"/>
  <c r="A151"/>
  <c r="C150"/>
  <c r="B150"/>
  <c r="A150"/>
  <c r="C149"/>
  <c r="B149"/>
  <c r="A149"/>
  <c r="C148"/>
  <c r="B148"/>
  <c r="A148"/>
  <c r="C147"/>
  <c r="B147"/>
  <c r="A147"/>
  <c r="C146"/>
  <c r="B146"/>
  <c r="A146"/>
  <c r="C145"/>
  <c r="B145"/>
  <c r="A145"/>
  <c r="C144"/>
  <c r="B144"/>
  <c r="A144"/>
  <c r="C143"/>
  <c r="B143"/>
  <c r="A143"/>
  <c r="C142"/>
  <c r="B142"/>
  <c r="A142"/>
  <c r="C141"/>
  <c r="B141"/>
  <c r="A141"/>
  <c r="C140"/>
  <c r="B140"/>
  <c r="A140"/>
  <c r="C139"/>
  <c r="B139"/>
  <c r="A139"/>
  <c r="C138"/>
  <c r="B138"/>
  <c r="A138"/>
  <c r="C137"/>
  <c r="B137"/>
  <c r="A137"/>
  <c r="C136"/>
  <c r="B136"/>
  <c r="A136"/>
  <c r="C135"/>
  <c r="B135"/>
  <c r="A135"/>
  <c r="C134"/>
  <c r="B134"/>
  <c r="A134"/>
  <c r="C133"/>
  <c r="B133"/>
  <c r="A133"/>
  <c r="C132"/>
  <c r="B132"/>
  <c r="A132"/>
  <c r="C131"/>
  <c r="B131"/>
  <c r="A131"/>
  <c r="C130"/>
  <c r="B130"/>
  <c r="A130"/>
  <c r="C129"/>
  <c r="B129"/>
  <c r="A129"/>
  <c r="C128"/>
  <c r="B128"/>
  <c r="A128"/>
  <c r="C127"/>
  <c r="B127"/>
  <c r="A127"/>
  <c r="C126"/>
  <c r="B126"/>
  <c r="A126"/>
  <c r="C125"/>
  <c r="B125"/>
  <c r="A125"/>
  <c r="C124"/>
  <c r="B124"/>
  <c r="A124"/>
  <c r="C123"/>
  <c r="B123"/>
  <c r="A123"/>
  <c r="C122"/>
  <c r="B122"/>
  <c r="A122"/>
  <c r="C121"/>
  <c r="B121"/>
  <c r="A121"/>
  <c r="C120"/>
  <c r="B120"/>
  <c r="A120"/>
  <c r="C119"/>
  <c r="B119"/>
  <c r="A119"/>
  <c r="C118"/>
  <c r="B118"/>
  <c r="A118"/>
  <c r="C117"/>
  <c r="B117"/>
  <c r="A117"/>
  <c r="C116"/>
  <c r="B116"/>
  <c r="A116"/>
  <c r="C115"/>
  <c r="B115"/>
  <c r="A115"/>
  <c r="C114"/>
  <c r="B114"/>
  <c r="A114"/>
  <c r="C113"/>
  <c r="B113"/>
  <c r="A113"/>
  <c r="C112"/>
  <c r="B112"/>
  <c r="A112"/>
  <c r="C111"/>
  <c r="B111"/>
  <c r="A111"/>
  <c r="C110"/>
  <c r="B110"/>
  <c r="A110"/>
  <c r="C109"/>
  <c r="B109"/>
  <c r="A109"/>
  <c r="C108"/>
  <c r="B108"/>
  <c r="A108"/>
  <c r="C107"/>
  <c r="B107"/>
  <c r="A107"/>
  <c r="C106"/>
  <c r="B106"/>
  <c r="A106"/>
  <c r="C105"/>
  <c r="B105"/>
  <c r="A105"/>
  <c r="C104"/>
  <c r="B104"/>
  <c r="A104"/>
  <c r="C103"/>
  <c r="B103"/>
  <c r="A103"/>
  <c r="C102"/>
  <c r="B102"/>
  <c r="A102"/>
  <c r="C101"/>
  <c r="B101"/>
  <c r="A101"/>
  <c r="C100"/>
  <c r="B100"/>
  <c r="A100"/>
  <c r="C99"/>
  <c r="B99"/>
  <c r="A99"/>
  <c r="C98"/>
  <c r="B98"/>
  <c r="A98"/>
  <c r="C97"/>
  <c r="B97"/>
  <c r="A97"/>
  <c r="C96"/>
  <c r="B96"/>
  <c r="A96"/>
  <c r="C95"/>
  <c r="B95"/>
  <c r="A95"/>
  <c r="C94"/>
  <c r="B94"/>
  <c r="A94"/>
  <c r="C93"/>
  <c r="B93"/>
  <c r="A93"/>
  <c r="C92"/>
  <c r="B92"/>
  <c r="A92"/>
  <c r="C91"/>
  <c r="B91"/>
  <c r="A91"/>
  <c r="C90"/>
  <c r="B90"/>
  <c r="A90"/>
  <c r="C89"/>
  <c r="B89"/>
  <c r="A89"/>
  <c r="C88"/>
  <c r="B88"/>
  <c r="A88"/>
  <c r="C87"/>
  <c r="B87"/>
  <c r="A87"/>
  <c r="C86"/>
  <c r="B86"/>
  <c r="A86"/>
  <c r="C85"/>
  <c r="B85"/>
  <c r="A85"/>
  <c r="C84"/>
  <c r="B84"/>
  <c r="A84"/>
  <c r="C83"/>
  <c r="B83"/>
  <c r="A83"/>
  <c r="C82"/>
  <c r="B82"/>
  <c r="A82"/>
  <c r="C81"/>
  <c r="B81"/>
  <c r="A81"/>
  <c r="C80"/>
  <c r="B80"/>
  <c r="A80"/>
  <c r="C79"/>
  <c r="B79"/>
  <c r="A79"/>
  <c r="C78"/>
  <c r="B78"/>
  <c r="A78"/>
  <c r="C77"/>
  <c r="B77"/>
  <c r="A77"/>
  <c r="C76"/>
  <c r="B76"/>
  <c r="A76"/>
  <c r="C75"/>
  <c r="B75"/>
  <c r="A75"/>
  <c r="C74"/>
  <c r="B74"/>
  <c r="A74"/>
  <c r="C73"/>
  <c r="B73"/>
  <c r="A73"/>
  <c r="C72"/>
  <c r="B72"/>
  <c r="A72"/>
  <c r="C71"/>
  <c r="B71"/>
  <c r="A71"/>
  <c r="C70"/>
  <c r="B70"/>
  <c r="A70"/>
  <c r="C69"/>
  <c r="B69"/>
  <c r="A69"/>
  <c r="C68"/>
  <c r="B68"/>
  <c r="A68"/>
  <c r="C67"/>
  <c r="B67"/>
  <c r="A67"/>
  <c r="C66"/>
  <c r="B66"/>
  <c r="A66"/>
  <c r="C65"/>
  <c r="B65"/>
  <c r="A65"/>
  <c r="C64"/>
  <c r="B64"/>
  <c r="A64"/>
  <c r="C63"/>
  <c r="B63"/>
  <c r="A63"/>
  <c r="C62"/>
  <c r="B62"/>
  <c r="A62"/>
  <c r="C61"/>
  <c r="B61"/>
  <c r="A61"/>
  <c r="C60"/>
  <c r="B60"/>
  <c r="A60"/>
  <c r="C59"/>
  <c r="B59"/>
  <c r="A59"/>
  <c r="C58"/>
  <c r="B58"/>
  <c r="A58"/>
  <c r="C57"/>
  <c r="B57"/>
  <c r="A57"/>
  <c r="C56"/>
  <c r="B56"/>
  <c r="A56"/>
  <c r="C55"/>
  <c r="B55"/>
  <c r="A55"/>
  <c r="C54"/>
  <c r="B54"/>
  <c r="A54"/>
  <c r="C53"/>
  <c r="B53"/>
  <c r="A53"/>
  <c r="C52"/>
  <c r="B52"/>
  <c r="A52"/>
  <c r="C51"/>
  <c r="B51"/>
  <c r="A51"/>
  <c r="C50"/>
  <c r="B50"/>
  <c r="A50"/>
  <c r="C49"/>
  <c r="B49"/>
  <c r="A49"/>
  <c r="C48"/>
  <c r="B48"/>
  <c r="A48"/>
  <c r="C47"/>
  <c r="B47"/>
  <c r="A47"/>
  <c r="C46"/>
  <c r="B46"/>
  <c r="A46"/>
  <c r="C45"/>
  <c r="B45"/>
  <c r="A45"/>
  <c r="C44"/>
  <c r="B44"/>
  <c r="A44"/>
  <c r="C43"/>
  <c r="B43"/>
  <c r="A43"/>
  <c r="C42"/>
  <c r="B42"/>
  <c r="A42"/>
  <c r="C41"/>
  <c r="B41"/>
  <c r="A41"/>
  <c r="C40"/>
  <c r="B40"/>
  <c r="A40"/>
  <c r="C39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3"/>
  <c r="B23"/>
  <c r="A23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13"/>
  <sheetViews>
    <sheetView tabSelected="1" topLeftCell="A13" workbookViewId="0">
      <selection activeCell="C18" sqref="C18"/>
    </sheetView>
  </sheetViews>
  <sheetFormatPr defaultRowHeight="13.5"/>
  <sheetData>
    <row r="1" spans="1:3">
      <c r="A1" t="str">
        <f>"证券代码"</f>
        <v>证券代码</v>
      </c>
      <c r="B1" t="str">
        <f>"证券名称"</f>
        <v>证券名称</v>
      </c>
      <c r="C1" t="str">
        <f>"交易所名称"</f>
        <v>交易所名称</v>
      </c>
    </row>
    <row r="2" spans="1:3">
      <c r="A2" t="str">
        <f>"000001"</f>
        <v>000001</v>
      </c>
      <c r="B2" t="str">
        <f>"平安银行"</f>
        <v>平安银行</v>
      </c>
      <c r="C2" t="str">
        <f t="shared" ref="C2:C65" si="0">"深圳A股"</f>
        <v>深圳A股</v>
      </c>
    </row>
    <row r="3" spans="1:3">
      <c r="A3" t="str">
        <f>"000002"</f>
        <v>000002</v>
      </c>
      <c r="B3" t="str">
        <f>"万  科Ａ"</f>
        <v>万  科Ａ</v>
      </c>
      <c r="C3" t="str">
        <f t="shared" si="0"/>
        <v>深圳A股</v>
      </c>
    </row>
    <row r="4" spans="1:3">
      <c r="A4" t="str">
        <f>"000006"</f>
        <v>000006</v>
      </c>
      <c r="B4" t="str">
        <f>"深振业Ａ"</f>
        <v>深振业Ａ</v>
      </c>
      <c r="C4" t="str">
        <f t="shared" si="0"/>
        <v>深圳A股</v>
      </c>
    </row>
    <row r="5" spans="1:3">
      <c r="A5" t="str">
        <f>"000009"</f>
        <v>000009</v>
      </c>
      <c r="B5" t="str">
        <f>"中国宝安"</f>
        <v>中国宝安</v>
      </c>
      <c r="C5" t="str">
        <f t="shared" si="0"/>
        <v>深圳A股</v>
      </c>
    </row>
    <row r="6" spans="1:3">
      <c r="A6" t="str">
        <f>"000012"</f>
        <v>000012</v>
      </c>
      <c r="B6" t="str">
        <f>"南  玻Ａ"</f>
        <v>南  玻Ａ</v>
      </c>
      <c r="C6" t="str">
        <f t="shared" si="0"/>
        <v>深圳A股</v>
      </c>
    </row>
    <row r="7" spans="1:3">
      <c r="A7" t="str">
        <f>"000024"</f>
        <v>000024</v>
      </c>
      <c r="B7" t="str">
        <f>"招商地产"</f>
        <v>招商地产</v>
      </c>
      <c r="C7" t="str">
        <f t="shared" si="0"/>
        <v>深圳A股</v>
      </c>
    </row>
    <row r="8" spans="1:3">
      <c r="A8" t="str">
        <f>"000027"</f>
        <v>000027</v>
      </c>
      <c r="B8" t="str">
        <f>"深圳能源"</f>
        <v>深圳能源</v>
      </c>
      <c r="C8" t="str">
        <f t="shared" si="0"/>
        <v>深圳A股</v>
      </c>
    </row>
    <row r="9" spans="1:3">
      <c r="A9" t="str">
        <f>"000028"</f>
        <v>000028</v>
      </c>
      <c r="B9" t="str">
        <f>"国药一致"</f>
        <v>国药一致</v>
      </c>
      <c r="C9" t="str">
        <f t="shared" si="0"/>
        <v>深圳A股</v>
      </c>
    </row>
    <row r="10" spans="1:3">
      <c r="A10" t="str">
        <f>"000031"</f>
        <v>000031</v>
      </c>
      <c r="B10" t="str">
        <f>"中粮地产"</f>
        <v>中粮地产</v>
      </c>
      <c r="C10" t="str">
        <f t="shared" si="0"/>
        <v>深圳A股</v>
      </c>
    </row>
    <row r="11" spans="1:3">
      <c r="A11" t="str">
        <f>"000039"</f>
        <v>000039</v>
      </c>
      <c r="B11" t="str">
        <f>"中集集团"</f>
        <v>中集集团</v>
      </c>
      <c r="C11" t="str">
        <f t="shared" si="0"/>
        <v>深圳A股</v>
      </c>
    </row>
    <row r="12" spans="1:3">
      <c r="A12" t="str">
        <f>"000043"</f>
        <v>000043</v>
      </c>
      <c r="B12" t="str">
        <f>"中航地产"</f>
        <v>中航地产</v>
      </c>
      <c r="C12" t="str">
        <f t="shared" si="0"/>
        <v>深圳A股</v>
      </c>
    </row>
    <row r="13" spans="1:3">
      <c r="A13" t="str">
        <f>"000046"</f>
        <v>000046</v>
      </c>
      <c r="B13" t="str">
        <f>"泛海控股"</f>
        <v>泛海控股</v>
      </c>
      <c r="C13" t="str">
        <f t="shared" si="0"/>
        <v>深圳A股</v>
      </c>
    </row>
    <row r="14" spans="1:3">
      <c r="A14" t="str">
        <f>"000049"</f>
        <v>000049</v>
      </c>
      <c r="B14" t="str">
        <f>"德赛电池"</f>
        <v>德赛电池</v>
      </c>
      <c r="C14" t="str">
        <f t="shared" si="0"/>
        <v>深圳A股</v>
      </c>
    </row>
    <row r="15" spans="1:3">
      <c r="A15" t="str">
        <f>"000050"</f>
        <v>000050</v>
      </c>
      <c r="B15" t="str">
        <f>"深天马Ａ"</f>
        <v>深天马Ａ</v>
      </c>
      <c r="C15" t="str">
        <f t="shared" si="0"/>
        <v>深圳A股</v>
      </c>
    </row>
    <row r="16" spans="1:3">
      <c r="A16" t="str">
        <f>"000060"</f>
        <v>000060</v>
      </c>
      <c r="B16" t="str">
        <f>"中金岭南"</f>
        <v>中金岭南</v>
      </c>
      <c r="C16" t="str">
        <f t="shared" si="0"/>
        <v>深圳A股</v>
      </c>
    </row>
    <row r="17" spans="1:3">
      <c r="A17" t="str">
        <f>"000061"</f>
        <v>000061</v>
      </c>
      <c r="B17" t="str">
        <f>"农 产 品"</f>
        <v>农 产 品</v>
      </c>
      <c r="C17" t="str">
        <f t="shared" si="0"/>
        <v>深圳A股</v>
      </c>
    </row>
    <row r="18" spans="1:3">
      <c r="A18" t="str">
        <f>"000062"</f>
        <v>000062</v>
      </c>
      <c r="B18" t="str">
        <f>"深圳华强"</f>
        <v>深圳华强</v>
      </c>
      <c r="C18" t="str">
        <f t="shared" si="0"/>
        <v>深圳A股</v>
      </c>
    </row>
    <row r="19" spans="1:3">
      <c r="A19" t="str">
        <f>"000063"</f>
        <v>000063</v>
      </c>
      <c r="B19" t="str">
        <f>"中兴通讯"</f>
        <v>中兴通讯</v>
      </c>
      <c r="C19" t="str">
        <f t="shared" si="0"/>
        <v>深圳A股</v>
      </c>
    </row>
    <row r="20" spans="1:3">
      <c r="A20" t="str">
        <f>"000069"</f>
        <v>000069</v>
      </c>
      <c r="B20" t="str">
        <f>"华侨城Ａ"</f>
        <v>华侨城Ａ</v>
      </c>
      <c r="C20" t="str">
        <f t="shared" si="0"/>
        <v>深圳A股</v>
      </c>
    </row>
    <row r="21" spans="1:3">
      <c r="A21" t="str">
        <f>"000078"</f>
        <v>000078</v>
      </c>
      <c r="B21" t="str">
        <f>"海王生物"</f>
        <v>海王生物</v>
      </c>
      <c r="C21" t="str">
        <f t="shared" si="0"/>
        <v>深圳A股</v>
      </c>
    </row>
    <row r="22" spans="1:3">
      <c r="A22" t="str">
        <f>"000088"</f>
        <v>000088</v>
      </c>
      <c r="B22" t="str">
        <f>"盐 田 港"</f>
        <v>盐 田 港</v>
      </c>
      <c r="C22" t="str">
        <f t="shared" si="0"/>
        <v>深圳A股</v>
      </c>
    </row>
    <row r="23" spans="1:3">
      <c r="A23" t="str">
        <f>"000089"</f>
        <v>000089</v>
      </c>
      <c r="B23" t="str">
        <f>"深圳机场"</f>
        <v>深圳机场</v>
      </c>
      <c r="C23" t="str">
        <f t="shared" si="0"/>
        <v>深圳A股</v>
      </c>
    </row>
    <row r="24" spans="1:3">
      <c r="A24" t="str">
        <f>"000099"</f>
        <v>000099</v>
      </c>
      <c r="B24" t="str">
        <f>"中信海直"</f>
        <v>中信海直</v>
      </c>
      <c r="C24" t="str">
        <f t="shared" si="0"/>
        <v>深圳A股</v>
      </c>
    </row>
    <row r="25" spans="1:3">
      <c r="A25" t="str">
        <f>"000100"</f>
        <v>000100</v>
      </c>
      <c r="B25" t="str">
        <f>"TCL 集团"</f>
        <v>TCL 集团</v>
      </c>
      <c r="C25" t="str">
        <f t="shared" si="0"/>
        <v>深圳A股</v>
      </c>
    </row>
    <row r="26" spans="1:3">
      <c r="A26" t="str">
        <f>"000151"</f>
        <v>000151</v>
      </c>
      <c r="B26" t="str">
        <f>"中成股份"</f>
        <v>中成股份</v>
      </c>
      <c r="C26" t="str">
        <f t="shared" si="0"/>
        <v>深圳A股</v>
      </c>
    </row>
    <row r="27" spans="1:3">
      <c r="A27" t="str">
        <f>"000156"</f>
        <v>000156</v>
      </c>
      <c r="B27" t="str">
        <f>"华数传媒"</f>
        <v>华数传媒</v>
      </c>
      <c r="C27" t="str">
        <f t="shared" si="0"/>
        <v>深圳A股</v>
      </c>
    </row>
    <row r="28" spans="1:3">
      <c r="A28" t="str">
        <f>"000157"</f>
        <v>000157</v>
      </c>
      <c r="B28" t="str">
        <f>"中联重科"</f>
        <v>中联重科</v>
      </c>
      <c r="C28" t="str">
        <f t="shared" si="0"/>
        <v>深圳A股</v>
      </c>
    </row>
    <row r="29" spans="1:3">
      <c r="A29" t="str">
        <f>"000333"</f>
        <v>000333</v>
      </c>
      <c r="B29" t="str">
        <f>"美的集团"</f>
        <v>美的集团</v>
      </c>
      <c r="C29" t="str">
        <f t="shared" si="0"/>
        <v>深圳A股</v>
      </c>
    </row>
    <row r="30" spans="1:3">
      <c r="A30" t="str">
        <f>"000338"</f>
        <v>000338</v>
      </c>
      <c r="B30" t="str">
        <f>"潍柴动力"</f>
        <v>潍柴动力</v>
      </c>
      <c r="C30" t="str">
        <f t="shared" si="0"/>
        <v>深圳A股</v>
      </c>
    </row>
    <row r="31" spans="1:3">
      <c r="A31" t="str">
        <f>"000400"</f>
        <v>000400</v>
      </c>
      <c r="B31" t="str">
        <f>"许继电气"</f>
        <v>许继电气</v>
      </c>
      <c r="C31" t="str">
        <f t="shared" si="0"/>
        <v>深圳A股</v>
      </c>
    </row>
    <row r="32" spans="1:3">
      <c r="A32" t="str">
        <f>"000401"</f>
        <v>000401</v>
      </c>
      <c r="B32" t="str">
        <f>"冀东水泥"</f>
        <v>冀东水泥</v>
      </c>
      <c r="C32" t="str">
        <f t="shared" si="0"/>
        <v>深圳A股</v>
      </c>
    </row>
    <row r="33" spans="1:3">
      <c r="A33" t="str">
        <f>"000402"</f>
        <v>000402</v>
      </c>
      <c r="B33" t="str">
        <f>"金 融 街"</f>
        <v>金 融 街</v>
      </c>
      <c r="C33" t="str">
        <f t="shared" si="0"/>
        <v>深圳A股</v>
      </c>
    </row>
    <row r="34" spans="1:3">
      <c r="A34" t="str">
        <f>"000410"</f>
        <v>000410</v>
      </c>
      <c r="B34" t="str">
        <f>"沈阳机床"</f>
        <v>沈阳机床</v>
      </c>
      <c r="C34" t="str">
        <f t="shared" si="0"/>
        <v>深圳A股</v>
      </c>
    </row>
    <row r="35" spans="1:3">
      <c r="A35" t="str">
        <f>"000413"</f>
        <v>000413</v>
      </c>
      <c r="B35" t="str">
        <f>"东旭光电"</f>
        <v>东旭光电</v>
      </c>
      <c r="C35" t="str">
        <f t="shared" si="0"/>
        <v>深圳A股</v>
      </c>
    </row>
    <row r="36" spans="1:3">
      <c r="A36" t="str">
        <f>"000415"</f>
        <v>000415</v>
      </c>
      <c r="B36" t="str">
        <f>"渤海租赁"</f>
        <v>渤海租赁</v>
      </c>
      <c r="C36" t="str">
        <f t="shared" si="0"/>
        <v>深圳A股</v>
      </c>
    </row>
    <row r="37" spans="1:3">
      <c r="A37" t="str">
        <f>"000417"</f>
        <v>000417</v>
      </c>
      <c r="B37" t="str">
        <f>"合肥百货"</f>
        <v>合肥百货</v>
      </c>
      <c r="C37" t="str">
        <f t="shared" si="0"/>
        <v>深圳A股</v>
      </c>
    </row>
    <row r="38" spans="1:3">
      <c r="A38" t="str">
        <f>"000422"</f>
        <v>000422</v>
      </c>
      <c r="B38" t="str">
        <f>"湖北宜化"</f>
        <v>湖北宜化</v>
      </c>
      <c r="C38" t="str">
        <f t="shared" si="0"/>
        <v>深圳A股</v>
      </c>
    </row>
    <row r="39" spans="1:3">
      <c r="A39" t="str">
        <f>"000423"</f>
        <v>000423</v>
      </c>
      <c r="B39" t="str">
        <f>"东阿阿胶"</f>
        <v>东阿阿胶</v>
      </c>
      <c r="C39" t="str">
        <f t="shared" si="0"/>
        <v>深圳A股</v>
      </c>
    </row>
    <row r="40" spans="1:3">
      <c r="A40" t="str">
        <f>"000425"</f>
        <v>000425</v>
      </c>
      <c r="B40" t="str">
        <f>"徐工机械"</f>
        <v>徐工机械</v>
      </c>
      <c r="C40" t="str">
        <f t="shared" si="0"/>
        <v>深圳A股</v>
      </c>
    </row>
    <row r="41" spans="1:3">
      <c r="A41" t="str">
        <f>"000426"</f>
        <v>000426</v>
      </c>
      <c r="B41" t="str">
        <f>"兴业矿业"</f>
        <v>兴业矿业</v>
      </c>
      <c r="C41" t="str">
        <f t="shared" si="0"/>
        <v>深圳A股</v>
      </c>
    </row>
    <row r="42" spans="1:3">
      <c r="A42" t="str">
        <f>"000501"</f>
        <v>000501</v>
      </c>
      <c r="B42" t="str">
        <f>"鄂武商Ａ"</f>
        <v>鄂武商Ａ</v>
      </c>
      <c r="C42" t="str">
        <f t="shared" si="0"/>
        <v>深圳A股</v>
      </c>
    </row>
    <row r="43" spans="1:3">
      <c r="A43" t="str">
        <f>"000503"</f>
        <v>000503</v>
      </c>
      <c r="B43" t="str">
        <f>"海虹控股"</f>
        <v>海虹控股</v>
      </c>
      <c r="C43" t="str">
        <f t="shared" si="0"/>
        <v>深圳A股</v>
      </c>
    </row>
    <row r="44" spans="1:3">
      <c r="A44" t="str">
        <f>"000506"</f>
        <v>000506</v>
      </c>
      <c r="B44" t="str">
        <f>"中润资源"</f>
        <v>中润资源</v>
      </c>
      <c r="C44" t="str">
        <f t="shared" si="0"/>
        <v>深圳A股</v>
      </c>
    </row>
    <row r="45" spans="1:3">
      <c r="A45" t="str">
        <f>"000511"</f>
        <v>000511</v>
      </c>
      <c r="B45" t="str">
        <f>"烯碳新材"</f>
        <v>烯碳新材</v>
      </c>
      <c r="C45" t="str">
        <f t="shared" si="0"/>
        <v>深圳A股</v>
      </c>
    </row>
    <row r="46" spans="1:3">
      <c r="A46" t="str">
        <f>"000513"</f>
        <v>000513</v>
      </c>
      <c r="B46" t="str">
        <f>"丽珠集团"</f>
        <v>丽珠集团</v>
      </c>
      <c r="C46" t="str">
        <f t="shared" si="0"/>
        <v>深圳A股</v>
      </c>
    </row>
    <row r="47" spans="1:3">
      <c r="A47" t="str">
        <f>"000516"</f>
        <v>000516</v>
      </c>
      <c r="B47" t="str">
        <f>"国际医学"</f>
        <v>国际医学</v>
      </c>
      <c r="C47" t="str">
        <f t="shared" si="0"/>
        <v>深圳A股</v>
      </c>
    </row>
    <row r="48" spans="1:3">
      <c r="A48" t="str">
        <f>"000525"</f>
        <v>000525</v>
      </c>
      <c r="B48" t="str">
        <f>"红 太 阳"</f>
        <v>红 太 阳</v>
      </c>
      <c r="C48" t="str">
        <f t="shared" si="0"/>
        <v>深圳A股</v>
      </c>
    </row>
    <row r="49" spans="1:3">
      <c r="A49" t="str">
        <f>"000528"</f>
        <v>000528</v>
      </c>
      <c r="B49" t="str">
        <f>"柳    工"</f>
        <v>柳    工</v>
      </c>
      <c r="C49" t="str">
        <f t="shared" si="0"/>
        <v>深圳A股</v>
      </c>
    </row>
    <row r="50" spans="1:3">
      <c r="A50" t="str">
        <f>"000536"</f>
        <v>000536</v>
      </c>
      <c r="B50" t="str">
        <f>"华映科技"</f>
        <v>华映科技</v>
      </c>
      <c r="C50" t="str">
        <f t="shared" si="0"/>
        <v>深圳A股</v>
      </c>
    </row>
    <row r="51" spans="1:3">
      <c r="A51" t="str">
        <f>"000537"</f>
        <v>000537</v>
      </c>
      <c r="B51" t="str">
        <f>"广宇发展"</f>
        <v>广宇发展</v>
      </c>
      <c r="C51" t="str">
        <f t="shared" si="0"/>
        <v>深圳A股</v>
      </c>
    </row>
    <row r="52" spans="1:3">
      <c r="A52" t="str">
        <f>"000538"</f>
        <v>000538</v>
      </c>
      <c r="B52" t="str">
        <f>"云南白药"</f>
        <v>云南白药</v>
      </c>
      <c r="C52" t="str">
        <f t="shared" si="0"/>
        <v>深圳A股</v>
      </c>
    </row>
    <row r="53" spans="1:3">
      <c r="A53" t="str">
        <f>"000539"</f>
        <v>000539</v>
      </c>
      <c r="B53" t="str">
        <f>"粤电力Ａ"</f>
        <v>粤电力Ａ</v>
      </c>
      <c r="C53" t="str">
        <f t="shared" si="0"/>
        <v>深圳A股</v>
      </c>
    </row>
    <row r="54" spans="1:3">
      <c r="A54" t="str">
        <f>"000540"</f>
        <v>000540</v>
      </c>
      <c r="B54" t="str">
        <f>"中天城投"</f>
        <v>中天城投</v>
      </c>
      <c r="C54" t="str">
        <f t="shared" si="0"/>
        <v>深圳A股</v>
      </c>
    </row>
    <row r="55" spans="1:3">
      <c r="A55" t="str">
        <f>"000541"</f>
        <v>000541</v>
      </c>
      <c r="B55" t="str">
        <f>"佛山照明"</f>
        <v>佛山照明</v>
      </c>
      <c r="C55" t="str">
        <f t="shared" si="0"/>
        <v>深圳A股</v>
      </c>
    </row>
    <row r="56" spans="1:3">
      <c r="A56" t="str">
        <f>"000543"</f>
        <v>000543</v>
      </c>
      <c r="B56" t="str">
        <f>"皖能电力"</f>
        <v>皖能电力</v>
      </c>
      <c r="C56" t="str">
        <f t="shared" si="0"/>
        <v>深圳A股</v>
      </c>
    </row>
    <row r="57" spans="1:3">
      <c r="A57" t="str">
        <f>"000550"</f>
        <v>000550</v>
      </c>
      <c r="B57" t="str">
        <f>"江铃汽车"</f>
        <v>江铃汽车</v>
      </c>
      <c r="C57" t="str">
        <f t="shared" si="0"/>
        <v>深圳A股</v>
      </c>
    </row>
    <row r="58" spans="1:3">
      <c r="A58" t="str">
        <f>"000551"</f>
        <v>000551</v>
      </c>
      <c r="B58" t="str">
        <f>"创元科技"</f>
        <v>创元科技</v>
      </c>
      <c r="C58" t="str">
        <f t="shared" si="0"/>
        <v>深圳A股</v>
      </c>
    </row>
    <row r="59" spans="1:3">
      <c r="A59" t="str">
        <f>"000552"</f>
        <v>000552</v>
      </c>
      <c r="B59" t="str">
        <f>"靖远煤电"</f>
        <v>靖远煤电</v>
      </c>
      <c r="C59" t="str">
        <f t="shared" si="0"/>
        <v>深圳A股</v>
      </c>
    </row>
    <row r="60" spans="1:3">
      <c r="A60" t="str">
        <f>"000554"</f>
        <v>000554</v>
      </c>
      <c r="B60" t="str">
        <f>"泰山石油"</f>
        <v>泰山石油</v>
      </c>
      <c r="C60" t="str">
        <f t="shared" si="0"/>
        <v>深圳A股</v>
      </c>
    </row>
    <row r="61" spans="1:3">
      <c r="A61" t="str">
        <f>"000559"</f>
        <v>000559</v>
      </c>
      <c r="B61" t="str">
        <f>"万向钱潮"</f>
        <v>万向钱潮</v>
      </c>
      <c r="C61" t="str">
        <f t="shared" si="0"/>
        <v>深圳A股</v>
      </c>
    </row>
    <row r="62" spans="1:3">
      <c r="A62" t="str">
        <f>"000563"</f>
        <v>000563</v>
      </c>
      <c r="B62" t="str">
        <f>"陕国投Ａ"</f>
        <v>陕国投Ａ</v>
      </c>
      <c r="C62" t="str">
        <f t="shared" si="0"/>
        <v>深圳A股</v>
      </c>
    </row>
    <row r="63" spans="1:3">
      <c r="A63" t="str">
        <f>"000566"</f>
        <v>000566</v>
      </c>
      <c r="B63" t="str">
        <f>"海南海药"</f>
        <v>海南海药</v>
      </c>
      <c r="C63" t="str">
        <f t="shared" si="0"/>
        <v>深圳A股</v>
      </c>
    </row>
    <row r="64" spans="1:3">
      <c r="A64" t="str">
        <f>"000568"</f>
        <v>000568</v>
      </c>
      <c r="B64" t="str">
        <f>"泸州老窖"</f>
        <v>泸州老窖</v>
      </c>
      <c r="C64" t="str">
        <f t="shared" si="0"/>
        <v>深圳A股</v>
      </c>
    </row>
    <row r="65" spans="1:3">
      <c r="A65" t="str">
        <f>"000572"</f>
        <v>000572</v>
      </c>
      <c r="B65" t="str">
        <f>"海马汽车"</f>
        <v>海马汽车</v>
      </c>
      <c r="C65" t="str">
        <f t="shared" si="0"/>
        <v>深圳A股</v>
      </c>
    </row>
    <row r="66" spans="1:3">
      <c r="A66" t="str">
        <f>"000581"</f>
        <v>000581</v>
      </c>
      <c r="B66" t="str">
        <f>"威孚高科"</f>
        <v>威孚高科</v>
      </c>
      <c r="C66" t="str">
        <f t="shared" ref="C66:C129" si="1">"深圳A股"</f>
        <v>深圳A股</v>
      </c>
    </row>
    <row r="67" spans="1:3">
      <c r="A67" t="str">
        <f>"000592"</f>
        <v>000592</v>
      </c>
      <c r="B67" t="str">
        <f>"平潭发展"</f>
        <v>平潭发展</v>
      </c>
      <c r="C67" t="str">
        <f t="shared" si="1"/>
        <v>深圳A股</v>
      </c>
    </row>
    <row r="68" spans="1:3">
      <c r="A68" t="str">
        <f>"000596"</f>
        <v>000596</v>
      </c>
      <c r="B68" t="str">
        <f>"古井贡酒"</f>
        <v>古井贡酒</v>
      </c>
      <c r="C68" t="str">
        <f t="shared" si="1"/>
        <v>深圳A股</v>
      </c>
    </row>
    <row r="69" spans="1:3">
      <c r="A69" t="str">
        <f>"000598"</f>
        <v>000598</v>
      </c>
      <c r="B69" t="str">
        <f>"兴蓉投资"</f>
        <v>兴蓉投资</v>
      </c>
      <c r="C69" t="str">
        <f t="shared" si="1"/>
        <v>深圳A股</v>
      </c>
    </row>
    <row r="70" spans="1:3">
      <c r="A70" t="str">
        <f>"000607"</f>
        <v>000607</v>
      </c>
      <c r="B70" t="str">
        <f>"华媒控股"</f>
        <v>华媒控股</v>
      </c>
      <c r="C70" t="str">
        <f t="shared" si="1"/>
        <v>深圳A股</v>
      </c>
    </row>
    <row r="71" spans="1:3">
      <c r="A71" t="str">
        <f>"000616"</f>
        <v>000616</v>
      </c>
      <c r="B71" t="str">
        <f>"海航投资"</f>
        <v>海航投资</v>
      </c>
      <c r="C71" t="str">
        <f t="shared" si="1"/>
        <v>深圳A股</v>
      </c>
    </row>
    <row r="72" spans="1:3">
      <c r="A72" t="str">
        <f>"000623"</f>
        <v>000623</v>
      </c>
      <c r="B72" t="str">
        <f>"吉林敖东"</f>
        <v>吉林敖东</v>
      </c>
      <c r="C72" t="str">
        <f t="shared" si="1"/>
        <v>深圳A股</v>
      </c>
    </row>
    <row r="73" spans="1:3">
      <c r="A73" t="str">
        <f>"000625"</f>
        <v>000625</v>
      </c>
      <c r="B73" t="str">
        <f>"长安汽车"</f>
        <v>长安汽车</v>
      </c>
      <c r="C73" t="str">
        <f t="shared" si="1"/>
        <v>深圳A股</v>
      </c>
    </row>
    <row r="74" spans="1:3">
      <c r="A74" t="str">
        <f>"000629"</f>
        <v>000629</v>
      </c>
      <c r="B74" t="str">
        <f>"攀钢钒钛"</f>
        <v>攀钢钒钛</v>
      </c>
      <c r="C74" t="str">
        <f t="shared" si="1"/>
        <v>深圳A股</v>
      </c>
    </row>
    <row r="75" spans="1:3">
      <c r="A75" t="str">
        <f>"000630"</f>
        <v>000630</v>
      </c>
      <c r="B75" t="str">
        <f>"铜陵有色"</f>
        <v>铜陵有色</v>
      </c>
      <c r="C75" t="str">
        <f t="shared" si="1"/>
        <v>深圳A股</v>
      </c>
    </row>
    <row r="76" spans="1:3">
      <c r="A76" t="str">
        <f>"000631"</f>
        <v>000631</v>
      </c>
      <c r="B76" t="str">
        <f>"顺发恒业"</f>
        <v>顺发恒业</v>
      </c>
      <c r="C76" t="str">
        <f t="shared" si="1"/>
        <v>深圳A股</v>
      </c>
    </row>
    <row r="77" spans="1:3">
      <c r="A77" t="str">
        <f>"000650"</f>
        <v>000650</v>
      </c>
      <c r="B77" t="str">
        <f>"仁和药业"</f>
        <v>仁和药业</v>
      </c>
      <c r="C77" t="str">
        <f t="shared" si="1"/>
        <v>深圳A股</v>
      </c>
    </row>
    <row r="78" spans="1:3">
      <c r="A78" t="str">
        <f>"000651"</f>
        <v>000651</v>
      </c>
      <c r="B78" t="str">
        <f>"格力电器"</f>
        <v>格力电器</v>
      </c>
      <c r="C78" t="str">
        <f t="shared" si="1"/>
        <v>深圳A股</v>
      </c>
    </row>
    <row r="79" spans="1:3">
      <c r="A79" t="str">
        <f>"000655"</f>
        <v>000655</v>
      </c>
      <c r="B79" t="str">
        <f>"金岭矿业"</f>
        <v>金岭矿业</v>
      </c>
      <c r="C79" t="str">
        <f t="shared" si="1"/>
        <v>深圳A股</v>
      </c>
    </row>
    <row r="80" spans="1:3">
      <c r="A80" t="str">
        <f>"000661"</f>
        <v>000661</v>
      </c>
      <c r="B80" t="str">
        <f>"长春高新"</f>
        <v>长春高新</v>
      </c>
      <c r="C80" t="str">
        <f t="shared" si="1"/>
        <v>深圳A股</v>
      </c>
    </row>
    <row r="81" spans="1:3">
      <c r="A81" t="str">
        <f>"000667"</f>
        <v>000667</v>
      </c>
      <c r="B81" t="str">
        <f>"美好集团"</f>
        <v>美好集团</v>
      </c>
      <c r="C81" t="str">
        <f t="shared" si="1"/>
        <v>深圳A股</v>
      </c>
    </row>
    <row r="82" spans="1:3">
      <c r="A82" t="str">
        <f>"000671"</f>
        <v>000671</v>
      </c>
      <c r="B82" t="str">
        <f>"阳 光 城"</f>
        <v>阳 光 城</v>
      </c>
      <c r="C82" t="str">
        <f t="shared" si="1"/>
        <v>深圳A股</v>
      </c>
    </row>
    <row r="83" spans="1:3">
      <c r="A83" t="str">
        <f>"000680"</f>
        <v>000680</v>
      </c>
      <c r="B83" t="str">
        <f>"山推股份"</f>
        <v>山推股份</v>
      </c>
      <c r="C83" t="str">
        <f t="shared" si="1"/>
        <v>深圳A股</v>
      </c>
    </row>
    <row r="84" spans="1:3">
      <c r="A84" t="str">
        <f>"000685"</f>
        <v>000685</v>
      </c>
      <c r="B84" t="str">
        <f>"中山公用"</f>
        <v>中山公用</v>
      </c>
      <c r="C84" t="str">
        <f t="shared" si="1"/>
        <v>深圳A股</v>
      </c>
    </row>
    <row r="85" spans="1:3">
      <c r="A85" t="str">
        <f>"000686"</f>
        <v>000686</v>
      </c>
      <c r="B85" t="str">
        <f>"东北证券"</f>
        <v>东北证券</v>
      </c>
      <c r="C85" t="str">
        <f t="shared" si="1"/>
        <v>深圳A股</v>
      </c>
    </row>
    <row r="86" spans="1:3">
      <c r="A86" t="str">
        <f>"000690"</f>
        <v>000690</v>
      </c>
      <c r="B86" t="str">
        <f>"宝新能源"</f>
        <v>宝新能源</v>
      </c>
      <c r="C86" t="str">
        <f t="shared" si="1"/>
        <v>深圳A股</v>
      </c>
    </row>
    <row r="87" spans="1:3">
      <c r="A87" t="str">
        <f>"000693"</f>
        <v>000693</v>
      </c>
      <c r="B87" t="str">
        <f>"华泽钴镍"</f>
        <v>华泽钴镍</v>
      </c>
      <c r="C87" t="str">
        <f t="shared" si="1"/>
        <v>深圳A股</v>
      </c>
    </row>
    <row r="88" spans="1:3">
      <c r="A88" t="str">
        <f>"000697"</f>
        <v>000697</v>
      </c>
      <c r="B88" t="str">
        <f>"炼石有色"</f>
        <v>炼石有色</v>
      </c>
      <c r="C88" t="str">
        <f t="shared" si="1"/>
        <v>深圳A股</v>
      </c>
    </row>
    <row r="89" spans="1:3">
      <c r="A89" t="str">
        <f>"000709"</f>
        <v>000709</v>
      </c>
      <c r="B89" t="str">
        <f>"河北钢铁"</f>
        <v>河北钢铁</v>
      </c>
      <c r="C89" t="str">
        <f t="shared" si="1"/>
        <v>深圳A股</v>
      </c>
    </row>
    <row r="90" spans="1:3">
      <c r="A90" t="str">
        <f>"000712"</f>
        <v>000712</v>
      </c>
      <c r="B90" t="str">
        <f>"锦龙股份"</f>
        <v>锦龙股份</v>
      </c>
      <c r="C90" t="str">
        <f t="shared" si="1"/>
        <v>深圳A股</v>
      </c>
    </row>
    <row r="91" spans="1:3">
      <c r="A91" t="str">
        <f>"000718"</f>
        <v>000718</v>
      </c>
      <c r="B91" t="str">
        <f>"苏宁环球"</f>
        <v>苏宁环球</v>
      </c>
      <c r="C91" t="str">
        <f t="shared" si="1"/>
        <v>深圳A股</v>
      </c>
    </row>
    <row r="92" spans="1:3">
      <c r="A92" t="str">
        <f>"000725"</f>
        <v>000725</v>
      </c>
      <c r="B92" t="str">
        <f>"京东方Ａ"</f>
        <v>京东方Ａ</v>
      </c>
      <c r="C92" t="str">
        <f t="shared" si="1"/>
        <v>深圳A股</v>
      </c>
    </row>
    <row r="93" spans="1:3">
      <c r="A93" t="str">
        <f>"000728"</f>
        <v>000728</v>
      </c>
      <c r="B93" t="str">
        <f>"国元证券"</f>
        <v>国元证券</v>
      </c>
      <c r="C93" t="str">
        <f t="shared" si="1"/>
        <v>深圳A股</v>
      </c>
    </row>
    <row r="94" spans="1:3">
      <c r="A94" t="str">
        <f>"000729"</f>
        <v>000729</v>
      </c>
      <c r="B94" t="str">
        <f>"燕京啤酒"</f>
        <v>燕京啤酒</v>
      </c>
      <c r="C94" t="str">
        <f t="shared" si="1"/>
        <v>深圳A股</v>
      </c>
    </row>
    <row r="95" spans="1:3">
      <c r="A95" t="str">
        <f>"000731"</f>
        <v>000731</v>
      </c>
      <c r="B95" t="str">
        <f>"四川美丰"</f>
        <v>四川美丰</v>
      </c>
      <c r="C95" t="str">
        <f t="shared" si="1"/>
        <v>深圳A股</v>
      </c>
    </row>
    <row r="96" spans="1:3">
      <c r="A96" t="str">
        <f>"000732"</f>
        <v>000732</v>
      </c>
      <c r="B96" t="str">
        <f>"泰禾集团"</f>
        <v>泰禾集团</v>
      </c>
      <c r="C96" t="str">
        <f t="shared" si="1"/>
        <v>深圳A股</v>
      </c>
    </row>
    <row r="97" spans="1:3">
      <c r="A97" t="str">
        <f>"000738"</f>
        <v>000738</v>
      </c>
      <c r="B97" t="str">
        <f>"中航动控"</f>
        <v>中航动控</v>
      </c>
      <c r="C97" t="str">
        <f t="shared" si="1"/>
        <v>深圳A股</v>
      </c>
    </row>
    <row r="98" spans="1:3">
      <c r="A98" t="str">
        <f>"000739"</f>
        <v>000739</v>
      </c>
      <c r="B98" t="str">
        <f>"普洛药业"</f>
        <v>普洛药业</v>
      </c>
      <c r="C98" t="str">
        <f t="shared" si="1"/>
        <v>深圳A股</v>
      </c>
    </row>
    <row r="99" spans="1:3">
      <c r="A99" t="str">
        <f>"000748"</f>
        <v>000748</v>
      </c>
      <c r="B99" t="str">
        <f>"长城信息"</f>
        <v>长城信息</v>
      </c>
      <c r="C99" t="str">
        <f t="shared" si="1"/>
        <v>深圳A股</v>
      </c>
    </row>
    <row r="100" spans="1:3">
      <c r="A100" t="str">
        <f>"000750"</f>
        <v>000750</v>
      </c>
      <c r="B100" t="str">
        <f>"国海证券"</f>
        <v>国海证券</v>
      </c>
      <c r="C100" t="str">
        <f t="shared" si="1"/>
        <v>深圳A股</v>
      </c>
    </row>
    <row r="101" spans="1:3">
      <c r="A101" t="str">
        <f>"000758"</f>
        <v>000758</v>
      </c>
      <c r="B101" t="str">
        <f>"中色股份"</f>
        <v>中色股份</v>
      </c>
      <c r="C101" t="str">
        <f t="shared" si="1"/>
        <v>深圳A股</v>
      </c>
    </row>
    <row r="102" spans="1:3">
      <c r="A102" t="str">
        <f>"000761"</f>
        <v>000761</v>
      </c>
      <c r="B102" t="str">
        <f>"本钢板材"</f>
        <v>本钢板材</v>
      </c>
      <c r="C102" t="str">
        <f t="shared" si="1"/>
        <v>深圳A股</v>
      </c>
    </row>
    <row r="103" spans="1:3">
      <c r="A103" t="str">
        <f>"000762"</f>
        <v>000762</v>
      </c>
      <c r="B103" t="str">
        <f>"西藏矿业"</f>
        <v>西藏矿业</v>
      </c>
      <c r="C103" t="str">
        <f t="shared" si="1"/>
        <v>深圳A股</v>
      </c>
    </row>
    <row r="104" spans="1:3">
      <c r="A104" t="str">
        <f>"000768"</f>
        <v>000768</v>
      </c>
      <c r="B104" t="str">
        <f>"中航飞机"</f>
        <v>中航飞机</v>
      </c>
      <c r="C104" t="str">
        <f t="shared" si="1"/>
        <v>深圳A股</v>
      </c>
    </row>
    <row r="105" spans="1:3">
      <c r="A105" t="str">
        <f>"000776"</f>
        <v>000776</v>
      </c>
      <c r="B105" t="str">
        <f>"广发证券"</f>
        <v>广发证券</v>
      </c>
      <c r="C105" t="str">
        <f t="shared" si="1"/>
        <v>深圳A股</v>
      </c>
    </row>
    <row r="106" spans="1:3">
      <c r="A106" t="str">
        <f>"000777"</f>
        <v>000777</v>
      </c>
      <c r="B106" t="str">
        <f>"中核科技"</f>
        <v>中核科技</v>
      </c>
      <c r="C106" t="str">
        <f t="shared" si="1"/>
        <v>深圳A股</v>
      </c>
    </row>
    <row r="107" spans="1:3">
      <c r="A107" t="str">
        <f>"000778"</f>
        <v>000778</v>
      </c>
      <c r="B107" t="str">
        <f>"新兴铸管"</f>
        <v>新兴铸管</v>
      </c>
      <c r="C107" t="str">
        <f t="shared" si="1"/>
        <v>深圳A股</v>
      </c>
    </row>
    <row r="108" spans="1:3">
      <c r="A108" t="str">
        <f>"000780"</f>
        <v>000780</v>
      </c>
      <c r="B108" t="str">
        <f>"平庄能源"</f>
        <v>平庄能源</v>
      </c>
      <c r="C108" t="str">
        <f t="shared" si="1"/>
        <v>深圳A股</v>
      </c>
    </row>
    <row r="109" spans="1:3">
      <c r="A109" t="str">
        <f>"000783"</f>
        <v>000783</v>
      </c>
      <c r="B109" t="str">
        <f>"长江证券"</f>
        <v>长江证券</v>
      </c>
      <c r="C109" t="str">
        <f t="shared" si="1"/>
        <v>深圳A股</v>
      </c>
    </row>
    <row r="110" spans="1:3">
      <c r="A110" t="str">
        <f>"000786"</f>
        <v>000786</v>
      </c>
      <c r="B110" t="str">
        <f>"北新建材"</f>
        <v>北新建材</v>
      </c>
      <c r="C110" t="str">
        <f t="shared" si="1"/>
        <v>深圳A股</v>
      </c>
    </row>
    <row r="111" spans="1:3">
      <c r="A111" t="str">
        <f>"000788"</f>
        <v>000788</v>
      </c>
      <c r="B111" t="str">
        <f>"北大医药"</f>
        <v>北大医药</v>
      </c>
      <c r="C111" t="str">
        <f t="shared" si="1"/>
        <v>深圳A股</v>
      </c>
    </row>
    <row r="112" spans="1:3">
      <c r="A112" t="str">
        <f>"000789"</f>
        <v>000789</v>
      </c>
      <c r="B112" t="str">
        <f>"万年青"</f>
        <v>万年青</v>
      </c>
      <c r="C112" t="str">
        <f t="shared" si="1"/>
        <v>深圳A股</v>
      </c>
    </row>
    <row r="113" spans="1:3">
      <c r="A113" t="str">
        <f>"000790"</f>
        <v>000790</v>
      </c>
      <c r="B113" t="str">
        <f>"华神集团"</f>
        <v>华神集团</v>
      </c>
      <c r="C113" t="str">
        <f t="shared" si="1"/>
        <v>深圳A股</v>
      </c>
    </row>
    <row r="114" spans="1:3">
      <c r="A114" t="str">
        <f>"000792"</f>
        <v>000792</v>
      </c>
      <c r="B114" t="str">
        <f>"盐湖股份"</f>
        <v>盐湖股份</v>
      </c>
      <c r="C114" t="str">
        <f t="shared" si="1"/>
        <v>深圳A股</v>
      </c>
    </row>
    <row r="115" spans="1:3">
      <c r="A115" t="str">
        <f>"000793"</f>
        <v>000793</v>
      </c>
      <c r="B115" t="str">
        <f>"华闻传媒"</f>
        <v>华闻传媒</v>
      </c>
      <c r="C115" t="str">
        <f t="shared" si="1"/>
        <v>深圳A股</v>
      </c>
    </row>
    <row r="116" spans="1:3">
      <c r="A116" t="str">
        <f>"000800"</f>
        <v>000800</v>
      </c>
      <c r="B116" t="str">
        <f>"一汽轿车"</f>
        <v>一汽轿车</v>
      </c>
      <c r="C116" t="str">
        <f t="shared" si="1"/>
        <v>深圳A股</v>
      </c>
    </row>
    <row r="117" spans="1:3">
      <c r="A117" t="str">
        <f>"000801"</f>
        <v>000801</v>
      </c>
      <c r="B117" t="str">
        <f>"四川九洲"</f>
        <v>四川九洲</v>
      </c>
      <c r="C117" t="str">
        <f t="shared" si="1"/>
        <v>深圳A股</v>
      </c>
    </row>
    <row r="118" spans="1:3">
      <c r="A118" t="str">
        <f>"000807"</f>
        <v>000807</v>
      </c>
      <c r="B118" t="str">
        <f>"云铝股份"</f>
        <v>云铝股份</v>
      </c>
      <c r="C118" t="str">
        <f t="shared" si="1"/>
        <v>深圳A股</v>
      </c>
    </row>
    <row r="119" spans="1:3">
      <c r="A119" t="str">
        <f>"000811"</f>
        <v>000811</v>
      </c>
      <c r="B119" t="str">
        <f>"烟台冰轮"</f>
        <v>烟台冰轮</v>
      </c>
      <c r="C119" t="str">
        <f t="shared" si="1"/>
        <v>深圳A股</v>
      </c>
    </row>
    <row r="120" spans="1:3">
      <c r="A120" t="str">
        <f>"000812"</f>
        <v>000812</v>
      </c>
      <c r="B120" t="str">
        <f>"陕西金叶"</f>
        <v>陕西金叶</v>
      </c>
      <c r="C120" t="str">
        <f t="shared" si="1"/>
        <v>深圳A股</v>
      </c>
    </row>
    <row r="121" spans="1:3">
      <c r="A121" t="str">
        <f>"000816"</f>
        <v>000816</v>
      </c>
      <c r="B121" t="str">
        <f>"智慧农业"</f>
        <v>智慧农业</v>
      </c>
      <c r="C121" t="str">
        <f t="shared" si="1"/>
        <v>深圳A股</v>
      </c>
    </row>
    <row r="122" spans="1:3">
      <c r="A122" t="str">
        <f>"000823"</f>
        <v>000823</v>
      </c>
      <c r="B122" t="str">
        <f>"超声电子"</f>
        <v>超声电子</v>
      </c>
      <c r="C122" t="str">
        <f t="shared" si="1"/>
        <v>深圳A股</v>
      </c>
    </row>
    <row r="123" spans="1:3">
      <c r="A123" t="str">
        <f>"000825"</f>
        <v>000825</v>
      </c>
      <c r="B123" t="str">
        <f>"太钢不锈"</f>
        <v>太钢不锈</v>
      </c>
      <c r="C123" t="str">
        <f t="shared" si="1"/>
        <v>深圳A股</v>
      </c>
    </row>
    <row r="124" spans="1:3">
      <c r="A124" t="str">
        <f>"000826"</f>
        <v>000826</v>
      </c>
      <c r="B124" t="str">
        <f>"桑德环境"</f>
        <v>桑德环境</v>
      </c>
      <c r="C124" t="str">
        <f t="shared" si="1"/>
        <v>深圳A股</v>
      </c>
    </row>
    <row r="125" spans="1:3">
      <c r="A125" t="str">
        <f>"000829"</f>
        <v>000829</v>
      </c>
      <c r="B125" t="str">
        <f>"天音控股"</f>
        <v>天音控股</v>
      </c>
      <c r="C125" t="str">
        <f t="shared" si="1"/>
        <v>深圳A股</v>
      </c>
    </row>
    <row r="126" spans="1:3">
      <c r="A126" t="str">
        <f>"000830"</f>
        <v>000830</v>
      </c>
      <c r="B126" t="str">
        <f>"鲁西化工"</f>
        <v>鲁西化工</v>
      </c>
      <c r="C126" t="str">
        <f t="shared" si="1"/>
        <v>深圳A股</v>
      </c>
    </row>
    <row r="127" spans="1:3">
      <c r="A127" t="str">
        <f>"000831"</f>
        <v>000831</v>
      </c>
      <c r="B127" t="str">
        <f>"五矿稀土"</f>
        <v>五矿稀土</v>
      </c>
      <c r="C127" t="str">
        <f t="shared" si="1"/>
        <v>深圳A股</v>
      </c>
    </row>
    <row r="128" spans="1:3">
      <c r="A128" t="str">
        <f>"000839"</f>
        <v>000839</v>
      </c>
      <c r="B128" t="str">
        <f>"中信国安"</f>
        <v>中信国安</v>
      </c>
      <c r="C128" t="str">
        <f t="shared" si="1"/>
        <v>深圳A股</v>
      </c>
    </row>
    <row r="129" spans="1:3">
      <c r="A129" t="str">
        <f>"000848"</f>
        <v>000848</v>
      </c>
      <c r="B129" t="str">
        <f>"承德露露"</f>
        <v>承德露露</v>
      </c>
      <c r="C129" t="str">
        <f t="shared" si="1"/>
        <v>深圳A股</v>
      </c>
    </row>
    <row r="130" spans="1:3">
      <c r="A130" t="str">
        <f>"000851"</f>
        <v>000851</v>
      </c>
      <c r="B130" t="str">
        <f>"高鸿股份"</f>
        <v>高鸿股份</v>
      </c>
      <c r="C130" t="str">
        <f t="shared" ref="C130:C193" si="2">"深圳A股"</f>
        <v>深圳A股</v>
      </c>
    </row>
    <row r="131" spans="1:3">
      <c r="A131" t="str">
        <f>"000858"</f>
        <v>000858</v>
      </c>
      <c r="B131" t="str">
        <f>"五 粮 液"</f>
        <v>五 粮 液</v>
      </c>
      <c r="C131" t="str">
        <f t="shared" si="2"/>
        <v>深圳A股</v>
      </c>
    </row>
    <row r="132" spans="1:3">
      <c r="A132" t="str">
        <f>"000860"</f>
        <v>000860</v>
      </c>
      <c r="B132" t="str">
        <f>"顺鑫农业"</f>
        <v>顺鑫农业</v>
      </c>
      <c r="C132" t="str">
        <f t="shared" si="2"/>
        <v>深圳A股</v>
      </c>
    </row>
    <row r="133" spans="1:3">
      <c r="A133" t="str">
        <f>"000868"</f>
        <v>000868</v>
      </c>
      <c r="B133" t="str">
        <f>"安凯客车"</f>
        <v>安凯客车</v>
      </c>
      <c r="C133" t="str">
        <f t="shared" si="2"/>
        <v>深圳A股</v>
      </c>
    </row>
    <row r="134" spans="1:3">
      <c r="A134" t="str">
        <f>"000869"</f>
        <v>000869</v>
      </c>
      <c r="B134" t="str">
        <f>"张  裕Ａ"</f>
        <v>张  裕Ａ</v>
      </c>
      <c r="C134" t="str">
        <f t="shared" si="2"/>
        <v>深圳A股</v>
      </c>
    </row>
    <row r="135" spans="1:3">
      <c r="A135" t="str">
        <f>"000876"</f>
        <v>000876</v>
      </c>
      <c r="B135" t="str">
        <f>"新 希 望"</f>
        <v>新 希 望</v>
      </c>
      <c r="C135" t="str">
        <f t="shared" si="2"/>
        <v>深圳A股</v>
      </c>
    </row>
    <row r="136" spans="1:3">
      <c r="A136" t="str">
        <f>"000877"</f>
        <v>000877</v>
      </c>
      <c r="B136" t="str">
        <f>"天山股份"</f>
        <v>天山股份</v>
      </c>
      <c r="C136" t="str">
        <f t="shared" si="2"/>
        <v>深圳A股</v>
      </c>
    </row>
    <row r="137" spans="1:3">
      <c r="A137" t="str">
        <f>"000878"</f>
        <v>000878</v>
      </c>
      <c r="B137" t="str">
        <f>"云南铜业"</f>
        <v>云南铜业</v>
      </c>
      <c r="C137" t="str">
        <f t="shared" si="2"/>
        <v>深圳A股</v>
      </c>
    </row>
    <row r="138" spans="1:3">
      <c r="A138" t="str">
        <f>"000883"</f>
        <v>000883</v>
      </c>
      <c r="B138" t="str">
        <f>"湖北能源"</f>
        <v>湖北能源</v>
      </c>
      <c r="C138" t="str">
        <f t="shared" si="2"/>
        <v>深圳A股</v>
      </c>
    </row>
    <row r="139" spans="1:3">
      <c r="A139" t="str">
        <f>"000887"</f>
        <v>000887</v>
      </c>
      <c r="B139" t="str">
        <f>"中鼎股份"</f>
        <v>中鼎股份</v>
      </c>
      <c r="C139" t="str">
        <f t="shared" si="2"/>
        <v>深圳A股</v>
      </c>
    </row>
    <row r="140" spans="1:3">
      <c r="A140" t="str">
        <f>"000895"</f>
        <v>000895</v>
      </c>
      <c r="B140" t="str">
        <f>"双汇发展"</f>
        <v>双汇发展</v>
      </c>
      <c r="C140" t="str">
        <f t="shared" si="2"/>
        <v>深圳A股</v>
      </c>
    </row>
    <row r="141" spans="1:3">
      <c r="A141" t="str">
        <f>"000897"</f>
        <v>000897</v>
      </c>
      <c r="B141" t="str">
        <f>"津滨发展"</f>
        <v>津滨发展</v>
      </c>
      <c r="C141" t="str">
        <f t="shared" si="2"/>
        <v>深圳A股</v>
      </c>
    </row>
    <row r="142" spans="1:3">
      <c r="A142" t="str">
        <f>"000898"</f>
        <v>000898</v>
      </c>
      <c r="B142" t="str">
        <f>"鞍钢股份"</f>
        <v>鞍钢股份</v>
      </c>
      <c r="C142" t="str">
        <f t="shared" si="2"/>
        <v>深圳A股</v>
      </c>
    </row>
    <row r="143" spans="1:3">
      <c r="A143" t="str">
        <f>"000901"</f>
        <v>000901</v>
      </c>
      <c r="B143" t="str">
        <f>"航天科技"</f>
        <v>航天科技</v>
      </c>
      <c r="C143" t="str">
        <f t="shared" si="2"/>
        <v>深圳A股</v>
      </c>
    </row>
    <row r="144" spans="1:3">
      <c r="A144" t="str">
        <f>"000905"</f>
        <v>000905</v>
      </c>
      <c r="B144" t="str">
        <f>"厦门港务"</f>
        <v>厦门港务</v>
      </c>
      <c r="C144" t="str">
        <f t="shared" si="2"/>
        <v>深圳A股</v>
      </c>
    </row>
    <row r="145" spans="1:3">
      <c r="A145" t="str">
        <f>"000915"</f>
        <v>000915</v>
      </c>
      <c r="B145" t="str">
        <f>"山大华特"</f>
        <v>山大华特</v>
      </c>
      <c r="C145" t="str">
        <f t="shared" si="2"/>
        <v>深圳A股</v>
      </c>
    </row>
    <row r="146" spans="1:3">
      <c r="A146" t="str">
        <f>"000917"</f>
        <v>000917</v>
      </c>
      <c r="B146" t="str">
        <f>"电广传媒"</f>
        <v>电广传媒</v>
      </c>
      <c r="C146" t="str">
        <f t="shared" si="2"/>
        <v>深圳A股</v>
      </c>
    </row>
    <row r="147" spans="1:3">
      <c r="A147" t="str">
        <f>"000921"</f>
        <v>000921</v>
      </c>
      <c r="B147" t="str">
        <f>"海信科龙"</f>
        <v>海信科龙</v>
      </c>
      <c r="C147" t="str">
        <f t="shared" si="2"/>
        <v>深圳A股</v>
      </c>
    </row>
    <row r="148" spans="1:3">
      <c r="A148" t="str">
        <f>"000926"</f>
        <v>000926</v>
      </c>
      <c r="B148" t="str">
        <f>"福星股份"</f>
        <v>福星股份</v>
      </c>
      <c r="C148" t="str">
        <f t="shared" si="2"/>
        <v>深圳A股</v>
      </c>
    </row>
    <row r="149" spans="1:3">
      <c r="A149" t="str">
        <f>"000930"</f>
        <v>000930</v>
      </c>
      <c r="B149" t="str">
        <f>"中粮生化"</f>
        <v>中粮生化</v>
      </c>
      <c r="C149" t="str">
        <f t="shared" si="2"/>
        <v>深圳A股</v>
      </c>
    </row>
    <row r="150" spans="1:3">
      <c r="A150" t="str">
        <f>"000933"</f>
        <v>000933</v>
      </c>
      <c r="B150" t="str">
        <f>"神火股份"</f>
        <v>神火股份</v>
      </c>
      <c r="C150" t="str">
        <f t="shared" si="2"/>
        <v>深圳A股</v>
      </c>
    </row>
    <row r="151" spans="1:3">
      <c r="A151" t="str">
        <f>"000937"</f>
        <v>000937</v>
      </c>
      <c r="B151" t="str">
        <f>"冀中能源"</f>
        <v>冀中能源</v>
      </c>
      <c r="C151" t="str">
        <f t="shared" si="2"/>
        <v>深圳A股</v>
      </c>
    </row>
    <row r="152" spans="1:3">
      <c r="A152" t="str">
        <f>"000938"</f>
        <v>000938</v>
      </c>
      <c r="B152" t="str">
        <f>"紫光股份"</f>
        <v>紫光股份</v>
      </c>
      <c r="C152" t="str">
        <f t="shared" si="2"/>
        <v>深圳A股</v>
      </c>
    </row>
    <row r="153" spans="1:3">
      <c r="A153" t="str">
        <f>"000939"</f>
        <v>000939</v>
      </c>
      <c r="B153" t="str">
        <f>"凯迪电力"</f>
        <v>凯迪电力</v>
      </c>
      <c r="C153" t="str">
        <f t="shared" si="2"/>
        <v>深圳A股</v>
      </c>
    </row>
    <row r="154" spans="1:3">
      <c r="A154" t="str">
        <f>"000960"</f>
        <v>000960</v>
      </c>
      <c r="B154" t="str">
        <f>"锡业股份"</f>
        <v>锡业股份</v>
      </c>
      <c r="C154" t="str">
        <f t="shared" si="2"/>
        <v>深圳A股</v>
      </c>
    </row>
    <row r="155" spans="1:3">
      <c r="A155" t="str">
        <f>"000961"</f>
        <v>000961</v>
      </c>
      <c r="B155" t="str">
        <f>"中南建设"</f>
        <v>中南建设</v>
      </c>
      <c r="C155" t="str">
        <f t="shared" si="2"/>
        <v>深圳A股</v>
      </c>
    </row>
    <row r="156" spans="1:3">
      <c r="A156" t="str">
        <f>"000962"</f>
        <v>000962</v>
      </c>
      <c r="B156" t="str">
        <f>"东方钽业"</f>
        <v>东方钽业</v>
      </c>
      <c r="C156" t="str">
        <f t="shared" si="2"/>
        <v>深圳A股</v>
      </c>
    </row>
    <row r="157" spans="1:3">
      <c r="A157" t="str">
        <f>"000963"</f>
        <v>000963</v>
      </c>
      <c r="B157" t="str">
        <f>"华东医药"</f>
        <v>华东医药</v>
      </c>
      <c r="C157" t="str">
        <f t="shared" si="2"/>
        <v>深圳A股</v>
      </c>
    </row>
    <row r="158" spans="1:3">
      <c r="A158" t="str">
        <f>"000968"</f>
        <v>000968</v>
      </c>
      <c r="B158" t="str">
        <f>"煤 气 化"</f>
        <v>煤 气 化</v>
      </c>
      <c r="C158" t="str">
        <f t="shared" si="2"/>
        <v>深圳A股</v>
      </c>
    </row>
    <row r="159" spans="1:3">
      <c r="A159" t="str">
        <f>"000969"</f>
        <v>000969</v>
      </c>
      <c r="B159" t="str">
        <f>"安泰科技"</f>
        <v>安泰科技</v>
      </c>
      <c r="C159" t="str">
        <f t="shared" si="2"/>
        <v>深圳A股</v>
      </c>
    </row>
    <row r="160" spans="1:3">
      <c r="A160" t="str">
        <f>"000970"</f>
        <v>000970</v>
      </c>
      <c r="B160" t="str">
        <f>"中科三环"</f>
        <v>中科三环</v>
      </c>
      <c r="C160" t="str">
        <f t="shared" si="2"/>
        <v>深圳A股</v>
      </c>
    </row>
    <row r="161" spans="1:3">
      <c r="A161" t="str">
        <f>"000973"</f>
        <v>000973</v>
      </c>
      <c r="B161" t="str">
        <f>"佛塑科技"</f>
        <v>佛塑科技</v>
      </c>
      <c r="C161" t="str">
        <f t="shared" si="2"/>
        <v>深圳A股</v>
      </c>
    </row>
    <row r="162" spans="1:3">
      <c r="A162" t="str">
        <f>"000975"</f>
        <v>000975</v>
      </c>
      <c r="B162" t="str">
        <f>"银泰资源"</f>
        <v>银泰资源</v>
      </c>
      <c r="C162" t="str">
        <f t="shared" si="2"/>
        <v>深圳A股</v>
      </c>
    </row>
    <row r="163" spans="1:3">
      <c r="A163" t="str">
        <f>"000977"</f>
        <v>000977</v>
      </c>
      <c r="B163" t="str">
        <f>"浪潮信息"</f>
        <v>浪潮信息</v>
      </c>
      <c r="C163" t="str">
        <f t="shared" si="2"/>
        <v>深圳A股</v>
      </c>
    </row>
    <row r="164" spans="1:3">
      <c r="A164" t="str">
        <f>"000979"</f>
        <v>000979</v>
      </c>
      <c r="B164" t="str">
        <f>"中弘股份"</f>
        <v>中弘股份</v>
      </c>
      <c r="C164" t="str">
        <f t="shared" si="2"/>
        <v>深圳A股</v>
      </c>
    </row>
    <row r="165" spans="1:3">
      <c r="A165" t="str">
        <f>"000983"</f>
        <v>000983</v>
      </c>
      <c r="B165" t="str">
        <f>"西山煤电"</f>
        <v>西山煤电</v>
      </c>
      <c r="C165" t="str">
        <f t="shared" si="2"/>
        <v>深圳A股</v>
      </c>
    </row>
    <row r="166" spans="1:3">
      <c r="A166" t="str">
        <f>"000988"</f>
        <v>000988</v>
      </c>
      <c r="B166" t="str">
        <f>"华工科技"</f>
        <v>华工科技</v>
      </c>
      <c r="C166" t="str">
        <f t="shared" si="2"/>
        <v>深圳A股</v>
      </c>
    </row>
    <row r="167" spans="1:3">
      <c r="A167" t="str">
        <f>"000989"</f>
        <v>000989</v>
      </c>
      <c r="B167" t="str">
        <f>"九 芝 堂"</f>
        <v>九 芝 堂</v>
      </c>
      <c r="C167" t="str">
        <f t="shared" si="2"/>
        <v>深圳A股</v>
      </c>
    </row>
    <row r="168" spans="1:3">
      <c r="A168" t="str">
        <f>"000996"</f>
        <v>000996</v>
      </c>
      <c r="B168" t="str">
        <f>"中国中期"</f>
        <v>中国中期</v>
      </c>
      <c r="C168" t="str">
        <f t="shared" si="2"/>
        <v>深圳A股</v>
      </c>
    </row>
    <row r="169" spans="1:3">
      <c r="A169" t="str">
        <f>"000997"</f>
        <v>000997</v>
      </c>
      <c r="B169" t="str">
        <f>"新 大 陆"</f>
        <v>新 大 陆</v>
      </c>
      <c r="C169" t="str">
        <f t="shared" si="2"/>
        <v>深圳A股</v>
      </c>
    </row>
    <row r="170" spans="1:3">
      <c r="A170" t="str">
        <f>"000998"</f>
        <v>000998</v>
      </c>
      <c r="B170" t="str">
        <f>"隆平高科"</f>
        <v>隆平高科</v>
      </c>
      <c r="C170" t="str">
        <f t="shared" si="2"/>
        <v>深圳A股</v>
      </c>
    </row>
    <row r="171" spans="1:3">
      <c r="A171" t="str">
        <f>"000999"</f>
        <v>000999</v>
      </c>
      <c r="B171" t="str">
        <f>"华润三九"</f>
        <v>华润三九</v>
      </c>
      <c r="C171" t="str">
        <f t="shared" si="2"/>
        <v>深圳A股</v>
      </c>
    </row>
    <row r="172" spans="1:3">
      <c r="A172" t="str">
        <f>"002001"</f>
        <v>002001</v>
      </c>
      <c r="B172" t="str">
        <f>"新 和 成"</f>
        <v>新 和 成</v>
      </c>
      <c r="C172" t="str">
        <f t="shared" si="2"/>
        <v>深圳A股</v>
      </c>
    </row>
    <row r="173" spans="1:3">
      <c r="A173" t="str">
        <f>"002004"</f>
        <v>002004</v>
      </c>
      <c r="B173" t="str">
        <f>"华邦颖泰"</f>
        <v>华邦颖泰</v>
      </c>
      <c r="C173" t="str">
        <f t="shared" si="2"/>
        <v>深圳A股</v>
      </c>
    </row>
    <row r="174" spans="1:3">
      <c r="A174" t="str">
        <f>"002005"</f>
        <v>002005</v>
      </c>
      <c r="B174" t="str">
        <f>"德豪润达"</f>
        <v>德豪润达</v>
      </c>
      <c r="C174" t="str">
        <f t="shared" si="2"/>
        <v>深圳A股</v>
      </c>
    </row>
    <row r="175" spans="1:3">
      <c r="A175" t="str">
        <f>"002007"</f>
        <v>002007</v>
      </c>
      <c r="B175" t="str">
        <f>"华兰生物"</f>
        <v>华兰生物</v>
      </c>
      <c r="C175" t="str">
        <f t="shared" si="2"/>
        <v>深圳A股</v>
      </c>
    </row>
    <row r="176" spans="1:3">
      <c r="A176" t="str">
        <f>"002008"</f>
        <v>002008</v>
      </c>
      <c r="B176" t="str">
        <f>"大族激光"</f>
        <v>大族激光</v>
      </c>
      <c r="C176" t="str">
        <f t="shared" si="2"/>
        <v>深圳A股</v>
      </c>
    </row>
    <row r="177" spans="1:3">
      <c r="A177" t="str">
        <f>"002011"</f>
        <v>002011</v>
      </c>
      <c r="B177" t="str">
        <f>"盾安环境"</f>
        <v>盾安环境</v>
      </c>
      <c r="C177" t="str">
        <f t="shared" si="2"/>
        <v>深圳A股</v>
      </c>
    </row>
    <row r="178" spans="1:3">
      <c r="A178" t="str">
        <f>"002016"</f>
        <v>002016</v>
      </c>
      <c r="B178" t="str">
        <f>"世荣兆业"</f>
        <v>世荣兆业</v>
      </c>
      <c r="C178" t="str">
        <f t="shared" si="2"/>
        <v>深圳A股</v>
      </c>
    </row>
    <row r="179" spans="1:3">
      <c r="A179" t="str">
        <f>"002022"</f>
        <v>002022</v>
      </c>
      <c r="B179" t="str">
        <f>"科华生物"</f>
        <v>科华生物</v>
      </c>
      <c r="C179" t="str">
        <f t="shared" si="2"/>
        <v>深圳A股</v>
      </c>
    </row>
    <row r="180" spans="1:3">
      <c r="A180" t="str">
        <f>"002023"</f>
        <v>002023</v>
      </c>
      <c r="B180" t="str">
        <f>"海特高新"</f>
        <v>海特高新</v>
      </c>
      <c r="C180" t="str">
        <f t="shared" si="2"/>
        <v>深圳A股</v>
      </c>
    </row>
    <row r="181" spans="1:3">
      <c r="A181" t="str">
        <f>"002024"</f>
        <v>002024</v>
      </c>
      <c r="B181" t="str">
        <f>"苏宁云商"</f>
        <v>苏宁云商</v>
      </c>
      <c r="C181" t="str">
        <f t="shared" si="2"/>
        <v>深圳A股</v>
      </c>
    </row>
    <row r="182" spans="1:3">
      <c r="A182" t="str">
        <f>"002025"</f>
        <v>002025</v>
      </c>
      <c r="B182" t="str">
        <f>"航天电器"</f>
        <v>航天电器</v>
      </c>
      <c r="C182" t="str">
        <f t="shared" si="2"/>
        <v>深圳A股</v>
      </c>
    </row>
    <row r="183" spans="1:3">
      <c r="A183" t="str">
        <f>"002028"</f>
        <v>002028</v>
      </c>
      <c r="B183" t="str">
        <f>"思源电气"</f>
        <v>思源电气</v>
      </c>
      <c r="C183" t="str">
        <f t="shared" si="2"/>
        <v>深圳A股</v>
      </c>
    </row>
    <row r="184" spans="1:3">
      <c r="A184" t="str">
        <f>"002029"</f>
        <v>002029</v>
      </c>
      <c r="B184" t="str">
        <f>"七 匹 狼"</f>
        <v>七 匹 狼</v>
      </c>
      <c r="C184" t="str">
        <f t="shared" si="2"/>
        <v>深圳A股</v>
      </c>
    </row>
    <row r="185" spans="1:3">
      <c r="A185" t="str">
        <f>"002030"</f>
        <v>002030</v>
      </c>
      <c r="B185" t="str">
        <f>"达安基因"</f>
        <v>达安基因</v>
      </c>
      <c r="C185" t="str">
        <f t="shared" si="2"/>
        <v>深圳A股</v>
      </c>
    </row>
    <row r="186" spans="1:3">
      <c r="A186" t="str">
        <f>"002038"</f>
        <v>002038</v>
      </c>
      <c r="B186" t="str">
        <f>"双鹭药业"</f>
        <v>双鹭药业</v>
      </c>
      <c r="C186" t="str">
        <f t="shared" si="2"/>
        <v>深圳A股</v>
      </c>
    </row>
    <row r="187" spans="1:3">
      <c r="A187" t="str">
        <f>"002041"</f>
        <v>002041</v>
      </c>
      <c r="B187" t="str">
        <f>"登海种业"</f>
        <v>登海种业</v>
      </c>
      <c r="C187" t="str">
        <f t="shared" si="2"/>
        <v>深圳A股</v>
      </c>
    </row>
    <row r="188" spans="1:3">
      <c r="A188" t="str">
        <f>"002048"</f>
        <v>002048</v>
      </c>
      <c r="B188" t="str">
        <f>"宁波华翔"</f>
        <v>宁波华翔</v>
      </c>
      <c r="C188" t="str">
        <f t="shared" si="2"/>
        <v>深圳A股</v>
      </c>
    </row>
    <row r="189" spans="1:3">
      <c r="A189" t="str">
        <f>"002049"</f>
        <v>002049</v>
      </c>
      <c r="B189" t="str">
        <f>"同方国芯"</f>
        <v>同方国芯</v>
      </c>
      <c r="C189" t="str">
        <f t="shared" si="2"/>
        <v>深圳A股</v>
      </c>
    </row>
    <row r="190" spans="1:3">
      <c r="A190" t="str">
        <f>"002050"</f>
        <v>002050</v>
      </c>
      <c r="B190" t="str">
        <f>"三花股份"</f>
        <v>三花股份</v>
      </c>
      <c r="C190" t="str">
        <f t="shared" si="2"/>
        <v>深圳A股</v>
      </c>
    </row>
    <row r="191" spans="1:3">
      <c r="A191" t="str">
        <f>"002051"</f>
        <v>002051</v>
      </c>
      <c r="B191" t="str">
        <f>"中工国际"</f>
        <v>中工国际</v>
      </c>
      <c r="C191" t="str">
        <f t="shared" si="2"/>
        <v>深圳A股</v>
      </c>
    </row>
    <row r="192" spans="1:3">
      <c r="A192" t="str">
        <f>"002055"</f>
        <v>002055</v>
      </c>
      <c r="B192" t="str">
        <f>"得润电子"</f>
        <v>得润电子</v>
      </c>
      <c r="C192" t="str">
        <f t="shared" si="2"/>
        <v>深圳A股</v>
      </c>
    </row>
    <row r="193" spans="1:3">
      <c r="A193" t="str">
        <f>"002056"</f>
        <v>002056</v>
      </c>
      <c r="B193" t="str">
        <f>"横店东磁"</f>
        <v>横店东磁</v>
      </c>
      <c r="C193" t="str">
        <f t="shared" si="2"/>
        <v>深圳A股</v>
      </c>
    </row>
    <row r="194" spans="1:3">
      <c r="A194" t="str">
        <f>"002063"</f>
        <v>002063</v>
      </c>
      <c r="B194" t="str">
        <f>"远光软件"</f>
        <v>远光软件</v>
      </c>
      <c r="C194" t="str">
        <f t="shared" ref="C194:C257" si="3">"深圳A股"</f>
        <v>深圳A股</v>
      </c>
    </row>
    <row r="195" spans="1:3">
      <c r="A195" t="str">
        <f>"002064"</f>
        <v>002064</v>
      </c>
      <c r="B195" t="str">
        <f>"华峰氨纶"</f>
        <v>华峰氨纶</v>
      </c>
      <c r="C195" t="str">
        <f t="shared" si="3"/>
        <v>深圳A股</v>
      </c>
    </row>
    <row r="196" spans="1:3">
      <c r="A196" t="str">
        <f>"002065"</f>
        <v>002065</v>
      </c>
      <c r="B196" t="str">
        <f>"东华软件"</f>
        <v>东华软件</v>
      </c>
      <c r="C196" t="str">
        <f t="shared" si="3"/>
        <v>深圳A股</v>
      </c>
    </row>
    <row r="197" spans="1:3">
      <c r="A197" t="str">
        <f>"002067"</f>
        <v>002067</v>
      </c>
      <c r="B197" t="str">
        <f>"景兴纸业"</f>
        <v>景兴纸业</v>
      </c>
      <c r="C197" t="str">
        <f t="shared" si="3"/>
        <v>深圳A股</v>
      </c>
    </row>
    <row r="198" spans="1:3">
      <c r="A198" t="str">
        <f>"002069"</f>
        <v>002069</v>
      </c>
      <c r="B198" t="str">
        <f>"獐 子 岛"</f>
        <v>獐 子 岛</v>
      </c>
      <c r="C198" t="str">
        <f t="shared" si="3"/>
        <v>深圳A股</v>
      </c>
    </row>
    <row r="199" spans="1:3">
      <c r="A199" t="str">
        <f>"002070"</f>
        <v>002070</v>
      </c>
      <c r="B199" t="str">
        <f>"众和股份"</f>
        <v>众和股份</v>
      </c>
      <c r="C199" t="str">
        <f t="shared" si="3"/>
        <v>深圳A股</v>
      </c>
    </row>
    <row r="200" spans="1:3">
      <c r="A200" t="str">
        <f>"002073"</f>
        <v>002073</v>
      </c>
      <c r="B200" t="str">
        <f>"软控股份"</f>
        <v>软控股份</v>
      </c>
      <c r="C200" t="str">
        <f t="shared" si="3"/>
        <v>深圳A股</v>
      </c>
    </row>
    <row r="201" spans="1:3">
      <c r="A201" t="str">
        <f>"002078"</f>
        <v>002078</v>
      </c>
      <c r="B201" t="str">
        <f>"太阳纸业"</f>
        <v>太阳纸业</v>
      </c>
      <c r="C201" t="str">
        <f t="shared" si="3"/>
        <v>深圳A股</v>
      </c>
    </row>
    <row r="202" spans="1:3">
      <c r="A202" t="str">
        <f>"002079"</f>
        <v>002079</v>
      </c>
      <c r="B202" t="str">
        <f>"苏州固锝"</f>
        <v>苏州固锝</v>
      </c>
      <c r="C202" t="str">
        <f t="shared" si="3"/>
        <v>深圳A股</v>
      </c>
    </row>
    <row r="203" spans="1:3">
      <c r="A203" t="str">
        <f>"002081"</f>
        <v>002081</v>
      </c>
      <c r="B203" t="str">
        <f>"金 螳 螂"</f>
        <v>金 螳 螂</v>
      </c>
      <c r="C203" t="str">
        <f t="shared" si="3"/>
        <v>深圳A股</v>
      </c>
    </row>
    <row r="204" spans="1:3">
      <c r="A204" t="str">
        <f>"002091"</f>
        <v>002091</v>
      </c>
      <c r="B204" t="str">
        <f>"江苏国泰"</f>
        <v>江苏国泰</v>
      </c>
      <c r="C204" t="str">
        <f t="shared" si="3"/>
        <v>深圳A股</v>
      </c>
    </row>
    <row r="205" spans="1:3">
      <c r="A205" t="str">
        <f>"002092"</f>
        <v>002092</v>
      </c>
      <c r="B205" t="str">
        <f>"中泰化学"</f>
        <v>中泰化学</v>
      </c>
      <c r="C205" t="str">
        <f t="shared" si="3"/>
        <v>深圳A股</v>
      </c>
    </row>
    <row r="206" spans="1:3">
      <c r="A206" t="str">
        <f>"002093"</f>
        <v>002093</v>
      </c>
      <c r="B206" t="str">
        <f>"国脉科技"</f>
        <v>国脉科技</v>
      </c>
      <c r="C206" t="str">
        <f t="shared" si="3"/>
        <v>深圳A股</v>
      </c>
    </row>
    <row r="207" spans="1:3">
      <c r="A207" t="str">
        <f>"002095"</f>
        <v>002095</v>
      </c>
      <c r="B207" t="str">
        <f>"生 意 宝"</f>
        <v>生 意 宝</v>
      </c>
      <c r="C207" t="str">
        <f t="shared" si="3"/>
        <v>深圳A股</v>
      </c>
    </row>
    <row r="208" spans="1:3">
      <c r="A208" t="str">
        <f>"002104"</f>
        <v>002104</v>
      </c>
      <c r="B208" t="str">
        <f>"恒宝股份"</f>
        <v>恒宝股份</v>
      </c>
      <c r="C208" t="str">
        <f t="shared" si="3"/>
        <v>深圳A股</v>
      </c>
    </row>
    <row r="209" spans="1:3">
      <c r="A209" t="str">
        <f>"002106"</f>
        <v>002106</v>
      </c>
      <c r="B209" t="str">
        <f>"莱宝高科"</f>
        <v>莱宝高科</v>
      </c>
      <c r="C209" t="str">
        <f t="shared" si="3"/>
        <v>深圳A股</v>
      </c>
    </row>
    <row r="210" spans="1:3">
      <c r="A210" t="str">
        <f>"002108"</f>
        <v>002108</v>
      </c>
      <c r="B210" t="str">
        <f>"沧州明珠"</f>
        <v>沧州明珠</v>
      </c>
      <c r="C210" t="str">
        <f t="shared" si="3"/>
        <v>深圳A股</v>
      </c>
    </row>
    <row r="211" spans="1:3">
      <c r="A211" t="str">
        <f>"002117"</f>
        <v>002117</v>
      </c>
      <c r="B211" t="str">
        <f>"东港股份"</f>
        <v>东港股份</v>
      </c>
      <c r="C211" t="str">
        <f t="shared" si="3"/>
        <v>深圳A股</v>
      </c>
    </row>
    <row r="212" spans="1:3">
      <c r="A212" t="str">
        <f>"002118"</f>
        <v>002118</v>
      </c>
      <c r="B212" t="str">
        <f>"紫鑫药业"</f>
        <v>紫鑫药业</v>
      </c>
      <c r="C212" t="str">
        <f t="shared" si="3"/>
        <v>深圳A股</v>
      </c>
    </row>
    <row r="213" spans="1:3">
      <c r="A213" t="str">
        <f>"002128"</f>
        <v>002128</v>
      </c>
      <c r="B213" t="str">
        <f>"露天煤业"</f>
        <v>露天煤业</v>
      </c>
      <c r="C213" t="str">
        <f t="shared" si="3"/>
        <v>深圳A股</v>
      </c>
    </row>
    <row r="214" spans="1:3">
      <c r="A214" t="str">
        <f>"002129"</f>
        <v>002129</v>
      </c>
      <c r="B214" t="str">
        <f>"中环股份"</f>
        <v>中环股份</v>
      </c>
      <c r="C214" t="str">
        <f t="shared" si="3"/>
        <v>深圳A股</v>
      </c>
    </row>
    <row r="215" spans="1:3">
      <c r="A215" t="str">
        <f>"002130"</f>
        <v>002130</v>
      </c>
      <c r="B215" t="str">
        <f>"沃尔核材"</f>
        <v>沃尔核材</v>
      </c>
      <c r="C215" t="str">
        <f t="shared" si="3"/>
        <v>深圳A股</v>
      </c>
    </row>
    <row r="216" spans="1:3">
      <c r="A216" t="str">
        <f>"002138"</f>
        <v>002138</v>
      </c>
      <c r="B216" t="str">
        <f>"顺络电子"</f>
        <v>顺络电子</v>
      </c>
      <c r="C216" t="str">
        <f t="shared" si="3"/>
        <v>深圳A股</v>
      </c>
    </row>
    <row r="217" spans="1:3">
      <c r="A217" t="str">
        <f>"002140"</f>
        <v>002140</v>
      </c>
      <c r="B217" t="str">
        <f>"东华科技"</f>
        <v>东华科技</v>
      </c>
      <c r="C217" t="str">
        <f t="shared" si="3"/>
        <v>深圳A股</v>
      </c>
    </row>
    <row r="218" spans="1:3">
      <c r="A218" t="str">
        <f>"002142"</f>
        <v>002142</v>
      </c>
      <c r="B218" t="str">
        <f>"宁波银行"</f>
        <v>宁波银行</v>
      </c>
      <c r="C218" t="str">
        <f t="shared" si="3"/>
        <v>深圳A股</v>
      </c>
    </row>
    <row r="219" spans="1:3">
      <c r="A219" t="str">
        <f>"002146"</f>
        <v>002146</v>
      </c>
      <c r="B219" t="str">
        <f>"荣盛发展"</f>
        <v>荣盛发展</v>
      </c>
      <c r="C219" t="str">
        <f t="shared" si="3"/>
        <v>深圳A股</v>
      </c>
    </row>
    <row r="220" spans="1:3">
      <c r="A220" t="str">
        <f>"002148"</f>
        <v>002148</v>
      </c>
      <c r="B220" t="str">
        <f>"北纬通信"</f>
        <v>北纬通信</v>
      </c>
      <c r="C220" t="str">
        <f t="shared" si="3"/>
        <v>深圳A股</v>
      </c>
    </row>
    <row r="221" spans="1:3">
      <c r="A221" t="str">
        <f>"002151"</f>
        <v>002151</v>
      </c>
      <c r="B221" t="str">
        <f>"北斗星通"</f>
        <v>北斗星通</v>
      </c>
      <c r="C221" t="str">
        <f t="shared" si="3"/>
        <v>深圳A股</v>
      </c>
    </row>
    <row r="222" spans="1:3">
      <c r="A222" t="str">
        <f>"002152"</f>
        <v>002152</v>
      </c>
      <c r="B222" t="str">
        <f>"广电运通"</f>
        <v>广电运通</v>
      </c>
      <c r="C222" t="str">
        <f t="shared" si="3"/>
        <v>深圳A股</v>
      </c>
    </row>
    <row r="223" spans="1:3">
      <c r="A223" t="str">
        <f>"002153"</f>
        <v>002153</v>
      </c>
      <c r="B223" t="str">
        <f>"石基信息"</f>
        <v>石基信息</v>
      </c>
      <c r="C223" t="str">
        <f t="shared" si="3"/>
        <v>深圳A股</v>
      </c>
    </row>
    <row r="224" spans="1:3">
      <c r="A224" t="str">
        <f>"002154"</f>
        <v>002154</v>
      </c>
      <c r="B224" t="str">
        <f>"报 喜 鸟"</f>
        <v>报 喜 鸟</v>
      </c>
      <c r="C224" t="str">
        <f t="shared" si="3"/>
        <v>深圳A股</v>
      </c>
    </row>
    <row r="225" spans="1:3">
      <c r="A225" t="str">
        <f>"002158"</f>
        <v>002158</v>
      </c>
      <c r="B225" t="str">
        <f>"汉钟精机"</f>
        <v>汉钟精机</v>
      </c>
      <c r="C225" t="str">
        <f t="shared" si="3"/>
        <v>深圳A股</v>
      </c>
    </row>
    <row r="226" spans="1:3">
      <c r="A226" t="str">
        <f>"002161"</f>
        <v>002161</v>
      </c>
      <c r="B226" t="str">
        <f>"远 望 谷"</f>
        <v>远 望 谷</v>
      </c>
      <c r="C226" t="str">
        <f t="shared" si="3"/>
        <v>深圳A股</v>
      </c>
    </row>
    <row r="227" spans="1:3">
      <c r="A227" t="str">
        <f>"002176"</f>
        <v>002176</v>
      </c>
      <c r="B227" t="str">
        <f>"江特电机"</f>
        <v>江特电机</v>
      </c>
      <c r="C227" t="str">
        <f t="shared" si="3"/>
        <v>深圳A股</v>
      </c>
    </row>
    <row r="228" spans="1:3">
      <c r="A228" t="str">
        <f>"002179"</f>
        <v>002179</v>
      </c>
      <c r="B228" t="str">
        <f>"中航光电"</f>
        <v>中航光电</v>
      </c>
      <c r="C228" t="str">
        <f t="shared" si="3"/>
        <v>深圳A股</v>
      </c>
    </row>
    <row r="229" spans="1:3">
      <c r="A229" t="str">
        <f>"002181"</f>
        <v>002181</v>
      </c>
      <c r="B229" t="str">
        <f>"粤 传 媒"</f>
        <v>粤 传 媒</v>
      </c>
      <c r="C229" t="str">
        <f t="shared" si="3"/>
        <v>深圳A股</v>
      </c>
    </row>
    <row r="230" spans="1:3">
      <c r="A230" t="str">
        <f>"002183"</f>
        <v>002183</v>
      </c>
      <c r="B230" t="str">
        <f>"怡 亚 通"</f>
        <v>怡 亚 通</v>
      </c>
      <c r="C230" t="str">
        <f t="shared" si="3"/>
        <v>深圳A股</v>
      </c>
    </row>
    <row r="231" spans="1:3">
      <c r="A231" t="str">
        <f>"002185"</f>
        <v>002185</v>
      </c>
      <c r="B231" t="str">
        <f>"华天科技"</f>
        <v>华天科技</v>
      </c>
      <c r="C231" t="str">
        <f t="shared" si="3"/>
        <v>深圳A股</v>
      </c>
    </row>
    <row r="232" spans="1:3">
      <c r="A232" t="str">
        <f>"002190"</f>
        <v>002190</v>
      </c>
      <c r="B232" t="str">
        <f>"成飞集成"</f>
        <v>成飞集成</v>
      </c>
      <c r="C232" t="str">
        <f t="shared" si="3"/>
        <v>深圳A股</v>
      </c>
    </row>
    <row r="233" spans="1:3">
      <c r="A233" t="str">
        <f>"002191"</f>
        <v>002191</v>
      </c>
      <c r="B233" t="str">
        <f>"劲嘉股份"</f>
        <v>劲嘉股份</v>
      </c>
      <c r="C233" t="str">
        <f t="shared" si="3"/>
        <v>深圳A股</v>
      </c>
    </row>
    <row r="234" spans="1:3">
      <c r="A234" t="str">
        <f>"002202"</f>
        <v>002202</v>
      </c>
      <c r="B234" t="str">
        <f>"金风科技"</f>
        <v>金风科技</v>
      </c>
      <c r="C234" t="str">
        <f t="shared" si="3"/>
        <v>深圳A股</v>
      </c>
    </row>
    <row r="235" spans="1:3">
      <c r="A235" t="str">
        <f>"002203"</f>
        <v>002203</v>
      </c>
      <c r="B235" t="str">
        <f>"海亮股份"</f>
        <v>海亮股份</v>
      </c>
      <c r="C235" t="str">
        <f t="shared" si="3"/>
        <v>深圳A股</v>
      </c>
    </row>
    <row r="236" spans="1:3">
      <c r="A236" t="str">
        <f>"002204"</f>
        <v>002204</v>
      </c>
      <c r="B236" t="str">
        <f>"大连重工"</f>
        <v>大连重工</v>
      </c>
      <c r="C236" t="str">
        <f t="shared" si="3"/>
        <v>深圳A股</v>
      </c>
    </row>
    <row r="237" spans="1:3">
      <c r="A237" t="str">
        <f>"002219"</f>
        <v>002219</v>
      </c>
      <c r="B237" t="str">
        <f>"恒康医疗"</f>
        <v>恒康医疗</v>
      </c>
      <c r="C237" t="str">
        <f t="shared" si="3"/>
        <v>深圳A股</v>
      </c>
    </row>
    <row r="238" spans="1:3">
      <c r="A238" t="str">
        <f>"002221"</f>
        <v>002221</v>
      </c>
      <c r="B238" t="str">
        <f>"东华能源"</f>
        <v>东华能源</v>
      </c>
      <c r="C238" t="str">
        <f t="shared" si="3"/>
        <v>深圳A股</v>
      </c>
    </row>
    <row r="239" spans="1:3">
      <c r="A239" t="str">
        <f>"002223"</f>
        <v>002223</v>
      </c>
      <c r="B239" t="str">
        <f>"鱼跃医疗"</f>
        <v>鱼跃医疗</v>
      </c>
      <c r="C239" t="str">
        <f t="shared" si="3"/>
        <v>深圳A股</v>
      </c>
    </row>
    <row r="240" spans="1:3">
      <c r="A240" t="str">
        <f>"002229"</f>
        <v>002229</v>
      </c>
      <c r="B240" t="str">
        <f>"鸿博股份"</f>
        <v>鸿博股份</v>
      </c>
      <c r="C240" t="str">
        <f t="shared" si="3"/>
        <v>深圳A股</v>
      </c>
    </row>
    <row r="241" spans="1:3">
      <c r="A241" t="str">
        <f>"002230"</f>
        <v>002230</v>
      </c>
      <c r="B241" t="str">
        <f>"科大讯飞"</f>
        <v>科大讯飞</v>
      </c>
      <c r="C241" t="str">
        <f t="shared" si="3"/>
        <v>深圳A股</v>
      </c>
    </row>
    <row r="242" spans="1:3">
      <c r="A242" t="str">
        <f>"002233"</f>
        <v>002233</v>
      </c>
      <c r="B242" t="str">
        <f>"塔牌集团"</f>
        <v>塔牌集团</v>
      </c>
      <c r="C242" t="str">
        <f t="shared" si="3"/>
        <v>深圳A股</v>
      </c>
    </row>
    <row r="243" spans="1:3">
      <c r="A243" t="str">
        <f>"002236"</f>
        <v>002236</v>
      </c>
      <c r="B243" t="str">
        <f>"大华股份"</f>
        <v>大华股份</v>
      </c>
      <c r="C243" t="str">
        <f t="shared" si="3"/>
        <v>深圳A股</v>
      </c>
    </row>
    <row r="244" spans="1:3">
      <c r="A244" t="str">
        <f>"002237"</f>
        <v>002237</v>
      </c>
      <c r="B244" t="str">
        <f>"恒邦股份"</f>
        <v>恒邦股份</v>
      </c>
      <c r="C244" t="str">
        <f t="shared" si="3"/>
        <v>深圳A股</v>
      </c>
    </row>
    <row r="245" spans="1:3">
      <c r="A245" t="str">
        <f>"002241"</f>
        <v>002241</v>
      </c>
      <c r="B245" t="str">
        <f>"歌尔声学"</f>
        <v>歌尔声学</v>
      </c>
      <c r="C245" t="str">
        <f t="shared" si="3"/>
        <v>深圳A股</v>
      </c>
    </row>
    <row r="246" spans="1:3">
      <c r="A246" t="str">
        <f>"002242"</f>
        <v>002242</v>
      </c>
      <c r="B246" t="str">
        <f>"九阳股份"</f>
        <v>九阳股份</v>
      </c>
      <c r="C246" t="str">
        <f t="shared" si="3"/>
        <v>深圳A股</v>
      </c>
    </row>
    <row r="247" spans="1:3">
      <c r="A247" t="str">
        <f>"002244"</f>
        <v>002244</v>
      </c>
      <c r="B247" t="str">
        <f>"滨江集团"</f>
        <v>滨江集团</v>
      </c>
      <c r="C247" t="str">
        <f t="shared" si="3"/>
        <v>深圳A股</v>
      </c>
    </row>
    <row r="248" spans="1:3">
      <c r="A248" t="str">
        <f>"002250"</f>
        <v>002250</v>
      </c>
      <c r="B248" t="str">
        <f>"联化科技"</f>
        <v>联化科技</v>
      </c>
      <c r="C248" t="str">
        <f t="shared" si="3"/>
        <v>深圳A股</v>
      </c>
    </row>
    <row r="249" spans="1:3">
      <c r="A249" t="str">
        <f>"002251"</f>
        <v>002251</v>
      </c>
      <c r="B249" t="str">
        <f>"步 步 高"</f>
        <v>步 步 高</v>
      </c>
      <c r="C249" t="str">
        <f t="shared" si="3"/>
        <v>深圳A股</v>
      </c>
    </row>
    <row r="250" spans="1:3">
      <c r="A250" t="str">
        <f>"002252"</f>
        <v>002252</v>
      </c>
      <c r="B250" t="str">
        <f>"上海莱士"</f>
        <v>上海莱士</v>
      </c>
      <c r="C250" t="str">
        <f t="shared" si="3"/>
        <v>深圳A股</v>
      </c>
    </row>
    <row r="251" spans="1:3">
      <c r="A251" t="str">
        <f>"002261"</f>
        <v>002261</v>
      </c>
      <c r="B251" t="str">
        <f>"拓维信息"</f>
        <v>拓维信息</v>
      </c>
      <c r="C251" t="str">
        <f t="shared" si="3"/>
        <v>深圳A股</v>
      </c>
    </row>
    <row r="252" spans="1:3">
      <c r="A252" t="str">
        <f>"002262"</f>
        <v>002262</v>
      </c>
      <c r="B252" t="str">
        <f>"恩华药业"</f>
        <v>恩华药业</v>
      </c>
      <c r="C252" t="str">
        <f t="shared" si="3"/>
        <v>深圳A股</v>
      </c>
    </row>
    <row r="253" spans="1:3">
      <c r="A253" t="str">
        <f>"002266"</f>
        <v>002266</v>
      </c>
      <c r="B253" t="str">
        <f>"浙富控股"</f>
        <v>浙富控股</v>
      </c>
      <c r="C253" t="str">
        <f t="shared" si="3"/>
        <v>深圳A股</v>
      </c>
    </row>
    <row r="254" spans="1:3">
      <c r="A254" t="str">
        <f>"002267"</f>
        <v>002267</v>
      </c>
      <c r="B254" t="str">
        <f>"陕天然气"</f>
        <v>陕天然气</v>
      </c>
      <c r="C254" t="str">
        <f t="shared" si="3"/>
        <v>深圳A股</v>
      </c>
    </row>
    <row r="255" spans="1:3">
      <c r="A255" t="str">
        <f>"002268"</f>
        <v>002268</v>
      </c>
      <c r="B255" t="str">
        <f>"卫 士 通"</f>
        <v>卫 士 通</v>
      </c>
      <c r="C255" t="str">
        <f t="shared" si="3"/>
        <v>深圳A股</v>
      </c>
    </row>
    <row r="256" spans="1:3">
      <c r="A256" t="str">
        <f>"002269"</f>
        <v>002269</v>
      </c>
      <c r="B256" t="str">
        <f>"美邦服饰"</f>
        <v>美邦服饰</v>
      </c>
      <c r="C256" t="str">
        <f t="shared" si="3"/>
        <v>深圳A股</v>
      </c>
    </row>
    <row r="257" spans="1:3">
      <c r="A257" t="str">
        <f>"002273"</f>
        <v>002273</v>
      </c>
      <c r="B257" t="str">
        <f>"水晶光电"</f>
        <v>水晶光电</v>
      </c>
      <c r="C257" t="str">
        <f t="shared" si="3"/>
        <v>深圳A股</v>
      </c>
    </row>
    <row r="258" spans="1:3">
      <c r="A258" t="str">
        <f>"002275"</f>
        <v>002275</v>
      </c>
      <c r="B258" t="str">
        <f>"桂林三金"</f>
        <v>桂林三金</v>
      </c>
      <c r="C258" t="str">
        <f t="shared" ref="C258:C321" si="4">"深圳A股"</f>
        <v>深圳A股</v>
      </c>
    </row>
    <row r="259" spans="1:3">
      <c r="A259" t="str">
        <f>"002276"</f>
        <v>002276</v>
      </c>
      <c r="B259" t="str">
        <f>"万马股份"</f>
        <v>万马股份</v>
      </c>
      <c r="C259" t="str">
        <f t="shared" si="4"/>
        <v>深圳A股</v>
      </c>
    </row>
    <row r="260" spans="1:3">
      <c r="A260" t="str">
        <f>"002277"</f>
        <v>002277</v>
      </c>
      <c r="B260" t="str">
        <f>"友阿股份"</f>
        <v>友阿股份</v>
      </c>
      <c r="C260" t="str">
        <f t="shared" si="4"/>
        <v>深圳A股</v>
      </c>
    </row>
    <row r="261" spans="1:3">
      <c r="A261" t="str">
        <f>"002281"</f>
        <v>002281</v>
      </c>
      <c r="B261" t="str">
        <f>"光迅科技"</f>
        <v>光迅科技</v>
      </c>
      <c r="C261" t="str">
        <f t="shared" si="4"/>
        <v>深圳A股</v>
      </c>
    </row>
    <row r="262" spans="1:3">
      <c r="A262" t="str">
        <f>"002285"</f>
        <v>002285</v>
      </c>
      <c r="B262" t="str">
        <f>"世联行"</f>
        <v>世联行</v>
      </c>
      <c r="C262" t="str">
        <f t="shared" si="4"/>
        <v>深圳A股</v>
      </c>
    </row>
    <row r="263" spans="1:3">
      <c r="A263" t="str">
        <f>"002287"</f>
        <v>002287</v>
      </c>
      <c r="B263" t="str">
        <f>"奇正藏药"</f>
        <v>奇正藏药</v>
      </c>
      <c r="C263" t="str">
        <f t="shared" si="4"/>
        <v>深圳A股</v>
      </c>
    </row>
    <row r="264" spans="1:3">
      <c r="A264" t="str">
        <f>"002292"</f>
        <v>002292</v>
      </c>
      <c r="B264" t="str">
        <f>"奥飞动漫"</f>
        <v>奥飞动漫</v>
      </c>
      <c r="C264" t="str">
        <f t="shared" si="4"/>
        <v>深圳A股</v>
      </c>
    </row>
    <row r="265" spans="1:3">
      <c r="A265" t="str">
        <f>"002293"</f>
        <v>002293</v>
      </c>
      <c r="B265" t="str">
        <f>"罗莱家纺"</f>
        <v>罗莱家纺</v>
      </c>
      <c r="C265" t="str">
        <f t="shared" si="4"/>
        <v>深圳A股</v>
      </c>
    </row>
    <row r="266" spans="1:3">
      <c r="A266" t="str">
        <f>"002294"</f>
        <v>002294</v>
      </c>
      <c r="B266" t="str">
        <f>"信立泰"</f>
        <v>信立泰</v>
      </c>
      <c r="C266" t="str">
        <f t="shared" si="4"/>
        <v>深圳A股</v>
      </c>
    </row>
    <row r="267" spans="1:3">
      <c r="A267" t="str">
        <f>"002299"</f>
        <v>002299</v>
      </c>
      <c r="B267" t="str">
        <f>"圣农发展"</f>
        <v>圣农发展</v>
      </c>
      <c r="C267" t="str">
        <f t="shared" si="4"/>
        <v>深圳A股</v>
      </c>
    </row>
    <row r="268" spans="1:3">
      <c r="A268" t="str">
        <f>"002304"</f>
        <v>002304</v>
      </c>
      <c r="B268" t="str">
        <f>"洋河股份"</f>
        <v>洋河股份</v>
      </c>
      <c r="C268" t="str">
        <f t="shared" si="4"/>
        <v>深圳A股</v>
      </c>
    </row>
    <row r="269" spans="1:3">
      <c r="A269" t="str">
        <f>"002307"</f>
        <v>002307</v>
      </c>
      <c r="B269" t="str">
        <f>"北新路桥"</f>
        <v>北新路桥</v>
      </c>
      <c r="C269" t="str">
        <f t="shared" si="4"/>
        <v>深圳A股</v>
      </c>
    </row>
    <row r="270" spans="1:3">
      <c r="A270" t="str">
        <f>"002308"</f>
        <v>002308</v>
      </c>
      <c r="B270" t="str">
        <f>"威创股份"</f>
        <v>威创股份</v>
      </c>
      <c r="C270" t="str">
        <f t="shared" si="4"/>
        <v>深圳A股</v>
      </c>
    </row>
    <row r="271" spans="1:3">
      <c r="A271" t="str">
        <f>"002310"</f>
        <v>002310</v>
      </c>
      <c r="B271" t="str">
        <f>"东方园林"</f>
        <v>东方园林</v>
      </c>
      <c r="C271" t="str">
        <f t="shared" si="4"/>
        <v>深圳A股</v>
      </c>
    </row>
    <row r="272" spans="1:3">
      <c r="A272" t="str">
        <f>"002311"</f>
        <v>002311</v>
      </c>
      <c r="B272" t="str">
        <f>"海大集团"</f>
        <v>海大集团</v>
      </c>
      <c r="C272" t="str">
        <f t="shared" si="4"/>
        <v>深圳A股</v>
      </c>
    </row>
    <row r="273" spans="1:3">
      <c r="A273" t="str">
        <f>"002312"</f>
        <v>002312</v>
      </c>
      <c r="B273" t="str">
        <f>"三泰控股"</f>
        <v>三泰控股</v>
      </c>
      <c r="C273" t="str">
        <f t="shared" si="4"/>
        <v>深圳A股</v>
      </c>
    </row>
    <row r="274" spans="1:3">
      <c r="A274" t="str">
        <f>"002313"</f>
        <v>002313</v>
      </c>
      <c r="B274" t="str">
        <f>"日海通讯"</f>
        <v>日海通讯</v>
      </c>
      <c r="C274" t="str">
        <f t="shared" si="4"/>
        <v>深圳A股</v>
      </c>
    </row>
    <row r="275" spans="1:3">
      <c r="A275" t="str">
        <f>"002317"</f>
        <v>002317</v>
      </c>
      <c r="B275" t="str">
        <f>"众生药业"</f>
        <v>众生药业</v>
      </c>
      <c r="C275" t="str">
        <f t="shared" si="4"/>
        <v>深圳A股</v>
      </c>
    </row>
    <row r="276" spans="1:3">
      <c r="A276" t="str">
        <f>"002318"</f>
        <v>002318</v>
      </c>
      <c r="B276" t="str">
        <f>"久立特材"</f>
        <v>久立特材</v>
      </c>
      <c r="C276" t="str">
        <f t="shared" si="4"/>
        <v>深圳A股</v>
      </c>
    </row>
    <row r="277" spans="1:3">
      <c r="A277" t="str">
        <f>"002325"</f>
        <v>002325</v>
      </c>
      <c r="B277" t="str">
        <f>"洪涛股份"</f>
        <v>洪涛股份</v>
      </c>
      <c r="C277" t="str">
        <f t="shared" si="4"/>
        <v>深圳A股</v>
      </c>
    </row>
    <row r="278" spans="1:3">
      <c r="A278" t="str">
        <f>"002340"</f>
        <v>002340</v>
      </c>
      <c r="B278" t="str">
        <f>"格林美"</f>
        <v>格林美</v>
      </c>
      <c r="C278" t="str">
        <f t="shared" si="4"/>
        <v>深圳A股</v>
      </c>
    </row>
    <row r="279" spans="1:3">
      <c r="A279" t="str">
        <f>"002344"</f>
        <v>002344</v>
      </c>
      <c r="B279" t="str">
        <f>"海宁皮城"</f>
        <v>海宁皮城</v>
      </c>
      <c r="C279" t="str">
        <f t="shared" si="4"/>
        <v>深圳A股</v>
      </c>
    </row>
    <row r="280" spans="1:3">
      <c r="A280" t="str">
        <f>"002353"</f>
        <v>002353</v>
      </c>
      <c r="B280" t="str">
        <f>"杰瑞股份"</f>
        <v>杰瑞股份</v>
      </c>
      <c r="C280" t="str">
        <f t="shared" si="4"/>
        <v>深圳A股</v>
      </c>
    </row>
    <row r="281" spans="1:3">
      <c r="A281" t="str">
        <f>"002355"</f>
        <v>002355</v>
      </c>
      <c r="B281" t="str">
        <f>"兴民钢圈"</f>
        <v>兴民钢圈</v>
      </c>
      <c r="C281" t="str">
        <f t="shared" si="4"/>
        <v>深圳A股</v>
      </c>
    </row>
    <row r="282" spans="1:3">
      <c r="A282" t="str">
        <f>"002368"</f>
        <v>002368</v>
      </c>
      <c r="B282" t="str">
        <f>"太极股份"</f>
        <v>太极股份</v>
      </c>
      <c r="C282" t="str">
        <f t="shared" si="4"/>
        <v>深圳A股</v>
      </c>
    </row>
    <row r="283" spans="1:3">
      <c r="A283" t="str">
        <f>"002369"</f>
        <v>002369</v>
      </c>
      <c r="B283" t="str">
        <f>"卓翼科技"</f>
        <v>卓翼科技</v>
      </c>
      <c r="C283" t="str">
        <f t="shared" si="4"/>
        <v>深圳A股</v>
      </c>
    </row>
    <row r="284" spans="1:3">
      <c r="A284" t="str">
        <f>"002371"</f>
        <v>002371</v>
      </c>
      <c r="B284" t="str">
        <f>"七星电子"</f>
        <v>七星电子</v>
      </c>
      <c r="C284" t="str">
        <f t="shared" si="4"/>
        <v>深圳A股</v>
      </c>
    </row>
    <row r="285" spans="1:3">
      <c r="A285" t="str">
        <f>"002375"</f>
        <v>002375</v>
      </c>
      <c r="B285" t="str">
        <f>"亚厦股份"</f>
        <v>亚厦股份</v>
      </c>
      <c r="C285" t="str">
        <f t="shared" si="4"/>
        <v>深圳A股</v>
      </c>
    </row>
    <row r="286" spans="1:3">
      <c r="A286" t="str">
        <f>"002378"</f>
        <v>002378</v>
      </c>
      <c r="B286" t="str">
        <f>"章源钨业"</f>
        <v>章源钨业</v>
      </c>
      <c r="C286" t="str">
        <f t="shared" si="4"/>
        <v>深圳A股</v>
      </c>
    </row>
    <row r="287" spans="1:3">
      <c r="A287" t="str">
        <f>"002385"</f>
        <v>002385</v>
      </c>
      <c r="B287" t="str">
        <f>"大北农"</f>
        <v>大北农</v>
      </c>
      <c r="C287" t="str">
        <f t="shared" si="4"/>
        <v>深圳A股</v>
      </c>
    </row>
    <row r="288" spans="1:3">
      <c r="A288" t="str">
        <f>"002393"</f>
        <v>002393</v>
      </c>
      <c r="B288" t="str">
        <f>"力生制药"</f>
        <v>力生制药</v>
      </c>
      <c r="C288" t="str">
        <f t="shared" si="4"/>
        <v>深圳A股</v>
      </c>
    </row>
    <row r="289" spans="1:3">
      <c r="A289" t="str">
        <f>"002396"</f>
        <v>002396</v>
      </c>
      <c r="B289" t="str">
        <f>"星网锐捷"</f>
        <v>星网锐捷</v>
      </c>
      <c r="C289" t="str">
        <f t="shared" si="4"/>
        <v>深圳A股</v>
      </c>
    </row>
    <row r="290" spans="1:3">
      <c r="A290" t="str">
        <f>"002399"</f>
        <v>002399</v>
      </c>
      <c r="B290" t="str">
        <f>"海普瑞"</f>
        <v>海普瑞</v>
      </c>
      <c r="C290" t="str">
        <f t="shared" si="4"/>
        <v>深圳A股</v>
      </c>
    </row>
    <row r="291" spans="1:3">
      <c r="A291" t="str">
        <f>"002400"</f>
        <v>002400</v>
      </c>
      <c r="B291" t="str">
        <f>"省广股份"</f>
        <v>省广股份</v>
      </c>
      <c r="C291" t="str">
        <f t="shared" si="4"/>
        <v>深圳A股</v>
      </c>
    </row>
    <row r="292" spans="1:3">
      <c r="A292" t="str">
        <f>"002401"</f>
        <v>002401</v>
      </c>
      <c r="B292" t="str">
        <f>"中海科技"</f>
        <v>中海科技</v>
      </c>
      <c r="C292" t="str">
        <f t="shared" si="4"/>
        <v>深圳A股</v>
      </c>
    </row>
    <row r="293" spans="1:3">
      <c r="A293" t="str">
        <f>"002405"</f>
        <v>002405</v>
      </c>
      <c r="B293" t="str">
        <f>"四维图新"</f>
        <v>四维图新</v>
      </c>
      <c r="C293" t="str">
        <f t="shared" si="4"/>
        <v>深圳A股</v>
      </c>
    </row>
    <row r="294" spans="1:3">
      <c r="A294" t="str">
        <f>"002407"</f>
        <v>002407</v>
      </c>
      <c r="B294" t="str">
        <f>"多氟多"</f>
        <v>多氟多</v>
      </c>
      <c r="C294" t="str">
        <f t="shared" si="4"/>
        <v>深圳A股</v>
      </c>
    </row>
    <row r="295" spans="1:3">
      <c r="A295" t="str">
        <f>"002408"</f>
        <v>002408</v>
      </c>
      <c r="B295" t="str">
        <f>"齐翔腾达"</f>
        <v>齐翔腾达</v>
      </c>
      <c r="C295" t="str">
        <f t="shared" si="4"/>
        <v>深圳A股</v>
      </c>
    </row>
    <row r="296" spans="1:3">
      <c r="A296" t="str">
        <f>"002410"</f>
        <v>002410</v>
      </c>
      <c r="B296" t="str">
        <f>"广联达"</f>
        <v>广联达</v>
      </c>
      <c r="C296" t="str">
        <f t="shared" si="4"/>
        <v>深圳A股</v>
      </c>
    </row>
    <row r="297" spans="1:3">
      <c r="A297" t="str">
        <f>"002414"</f>
        <v>002414</v>
      </c>
      <c r="B297" t="str">
        <f>"高德红外"</f>
        <v>高德红外</v>
      </c>
      <c r="C297" t="str">
        <f t="shared" si="4"/>
        <v>深圳A股</v>
      </c>
    </row>
    <row r="298" spans="1:3">
      <c r="A298" t="str">
        <f>"002415"</f>
        <v>002415</v>
      </c>
      <c r="B298" t="str">
        <f>"海康威视"</f>
        <v>海康威视</v>
      </c>
      <c r="C298" t="str">
        <f t="shared" si="4"/>
        <v>深圳A股</v>
      </c>
    </row>
    <row r="299" spans="1:3">
      <c r="A299" t="str">
        <f>"002416"</f>
        <v>002416</v>
      </c>
      <c r="B299" t="str">
        <f>"爱施德"</f>
        <v>爱施德</v>
      </c>
      <c r="C299" t="str">
        <f t="shared" si="4"/>
        <v>深圳A股</v>
      </c>
    </row>
    <row r="300" spans="1:3">
      <c r="A300" t="str">
        <f>"002419"</f>
        <v>002419</v>
      </c>
      <c r="B300" t="str">
        <f>"天虹商场"</f>
        <v>天虹商场</v>
      </c>
      <c r="C300" t="str">
        <f t="shared" si="4"/>
        <v>深圳A股</v>
      </c>
    </row>
    <row r="301" spans="1:3">
      <c r="A301" t="str">
        <f>"002423"</f>
        <v>002423</v>
      </c>
      <c r="B301" t="str">
        <f>"中原特钢"</f>
        <v>中原特钢</v>
      </c>
      <c r="C301" t="str">
        <f t="shared" si="4"/>
        <v>深圳A股</v>
      </c>
    </row>
    <row r="302" spans="1:3">
      <c r="A302" t="str">
        <f>"002424"</f>
        <v>002424</v>
      </c>
      <c r="B302" t="str">
        <f>"贵州百灵"</f>
        <v>贵州百灵</v>
      </c>
      <c r="C302" t="str">
        <f t="shared" si="4"/>
        <v>深圳A股</v>
      </c>
    </row>
    <row r="303" spans="1:3">
      <c r="A303" t="str">
        <f>"002428"</f>
        <v>002428</v>
      </c>
      <c r="B303" t="str">
        <f>"云南锗业"</f>
        <v>云南锗业</v>
      </c>
      <c r="C303" t="str">
        <f t="shared" si="4"/>
        <v>深圳A股</v>
      </c>
    </row>
    <row r="304" spans="1:3">
      <c r="A304" t="str">
        <f>"002429"</f>
        <v>002429</v>
      </c>
      <c r="B304" t="str">
        <f>"兆驰股份"</f>
        <v>兆驰股份</v>
      </c>
      <c r="C304" t="str">
        <f t="shared" si="4"/>
        <v>深圳A股</v>
      </c>
    </row>
    <row r="305" spans="1:3">
      <c r="A305" t="str">
        <f>"002431"</f>
        <v>002431</v>
      </c>
      <c r="B305" t="str">
        <f>"棕榈园林"</f>
        <v>棕榈园林</v>
      </c>
      <c r="C305" t="str">
        <f t="shared" si="4"/>
        <v>深圳A股</v>
      </c>
    </row>
    <row r="306" spans="1:3">
      <c r="A306" t="str">
        <f>"002437"</f>
        <v>002437</v>
      </c>
      <c r="B306" t="str">
        <f>"誉衡药业"</f>
        <v>誉衡药业</v>
      </c>
      <c r="C306" t="str">
        <f t="shared" si="4"/>
        <v>深圳A股</v>
      </c>
    </row>
    <row r="307" spans="1:3">
      <c r="A307" t="str">
        <f>"002439"</f>
        <v>002439</v>
      </c>
      <c r="B307" t="str">
        <f>"启明星辰"</f>
        <v>启明星辰</v>
      </c>
      <c r="C307" t="str">
        <f t="shared" si="4"/>
        <v>深圳A股</v>
      </c>
    </row>
    <row r="308" spans="1:3">
      <c r="A308" t="str">
        <f>"002440"</f>
        <v>002440</v>
      </c>
      <c r="B308" t="str">
        <f>"闰土股份"</f>
        <v>闰土股份</v>
      </c>
      <c r="C308" t="str">
        <f t="shared" si="4"/>
        <v>深圳A股</v>
      </c>
    </row>
    <row r="309" spans="1:3">
      <c r="A309" t="str">
        <f>"002444"</f>
        <v>002444</v>
      </c>
      <c r="B309" t="str">
        <f>"巨星科技"</f>
        <v>巨星科技</v>
      </c>
      <c r="C309" t="str">
        <f t="shared" si="4"/>
        <v>深圳A股</v>
      </c>
    </row>
    <row r="310" spans="1:3">
      <c r="A310" t="str">
        <f>"002450"</f>
        <v>002450</v>
      </c>
      <c r="B310" t="str">
        <f>"康得新"</f>
        <v>康得新</v>
      </c>
      <c r="C310" t="str">
        <f t="shared" si="4"/>
        <v>深圳A股</v>
      </c>
    </row>
    <row r="311" spans="1:3">
      <c r="A311" t="str">
        <f>"002456"</f>
        <v>002456</v>
      </c>
      <c r="B311" t="str">
        <f>"欧菲光"</f>
        <v>欧菲光</v>
      </c>
      <c r="C311" t="str">
        <f t="shared" si="4"/>
        <v>深圳A股</v>
      </c>
    </row>
    <row r="312" spans="1:3">
      <c r="A312" t="str">
        <f>"002460"</f>
        <v>002460</v>
      </c>
      <c r="B312" t="str">
        <f>"赣锋锂业"</f>
        <v>赣锋锂业</v>
      </c>
      <c r="C312" t="str">
        <f t="shared" si="4"/>
        <v>深圳A股</v>
      </c>
    </row>
    <row r="313" spans="1:3">
      <c r="A313" t="str">
        <f>"002461"</f>
        <v>002461</v>
      </c>
      <c r="B313" t="str">
        <f>"珠江啤酒"</f>
        <v>珠江啤酒</v>
      </c>
      <c r="C313" t="str">
        <f t="shared" si="4"/>
        <v>深圳A股</v>
      </c>
    </row>
    <row r="314" spans="1:3">
      <c r="A314" t="str">
        <f>"002465"</f>
        <v>002465</v>
      </c>
      <c r="B314" t="str">
        <f>"海格通信"</f>
        <v>海格通信</v>
      </c>
      <c r="C314" t="str">
        <f t="shared" si="4"/>
        <v>深圳A股</v>
      </c>
    </row>
    <row r="315" spans="1:3">
      <c r="A315" t="str">
        <f>"002467"</f>
        <v>002467</v>
      </c>
      <c r="B315" t="str">
        <f>"二六三"</f>
        <v>二六三</v>
      </c>
      <c r="C315" t="str">
        <f t="shared" si="4"/>
        <v>深圳A股</v>
      </c>
    </row>
    <row r="316" spans="1:3">
      <c r="A316" t="str">
        <f>"002470"</f>
        <v>002470</v>
      </c>
      <c r="B316" t="str">
        <f>"金正大"</f>
        <v>金正大</v>
      </c>
      <c r="C316" t="str">
        <f t="shared" si="4"/>
        <v>深圳A股</v>
      </c>
    </row>
    <row r="317" spans="1:3">
      <c r="A317" t="str">
        <f>"002474"</f>
        <v>002474</v>
      </c>
      <c r="B317" t="str">
        <f>"榕基软件"</f>
        <v>榕基软件</v>
      </c>
      <c r="C317" t="str">
        <f t="shared" si="4"/>
        <v>深圳A股</v>
      </c>
    </row>
    <row r="318" spans="1:3">
      <c r="A318" t="str">
        <f>"002475"</f>
        <v>002475</v>
      </c>
      <c r="B318" t="str">
        <f>"立讯精密"</f>
        <v>立讯精密</v>
      </c>
      <c r="C318" t="str">
        <f t="shared" si="4"/>
        <v>深圳A股</v>
      </c>
    </row>
    <row r="319" spans="1:3">
      <c r="A319" t="str">
        <f>"002476"</f>
        <v>002476</v>
      </c>
      <c r="B319" t="str">
        <f>"宝莫股份"</f>
        <v>宝莫股份</v>
      </c>
      <c r="C319" t="str">
        <f t="shared" si="4"/>
        <v>深圳A股</v>
      </c>
    </row>
    <row r="320" spans="1:3">
      <c r="A320" t="str">
        <f>"002482"</f>
        <v>002482</v>
      </c>
      <c r="B320" t="str">
        <f>"广田股份"</f>
        <v>广田股份</v>
      </c>
      <c r="C320" t="str">
        <f t="shared" si="4"/>
        <v>深圳A股</v>
      </c>
    </row>
    <row r="321" spans="1:3">
      <c r="A321" t="str">
        <f>"002490"</f>
        <v>002490</v>
      </c>
      <c r="B321" t="str">
        <f>"山东墨龙"</f>
        <v>山东墨龙</v>
      </c>
      <c r="C321" t="str">
        <f t="shared" si="4"/>
        <v>深圳A股</v>
      </c>
    </row>
    <row r="322" spans="1:3">
      <c r="A322" t="str">
        <f>"002493"</f>
        <v>002493</v>
      </c>
      <c r="B322" t="str">
        <f>"荣盛石化"</f>
        <v>荣盛石化</v>
      </c>
      <c r="C322" t="str">
        <f t="shared" ref="C322:C385" si="5">"深圳A股"</f>
        <v>深圳A股</v>
      </c>
    </row>
    <row r="323" spans="1:3">
      <c r="A323" t="str">
        <f>"002500"</f>
        <v>002500</v>
      </c>
      <c r="B323" t="str">
        <f>"山西证券"</f>
        <v>山西证券</v>
      </c>
      <c r="C323" t="str">
        <f t="shared" si="5"/>
        <v>深圳A股</v>
      </c>
    </row>
    <row r="324" spans="1:3">
      <c r="A324" t="str">
        <f>"002501"</f>
        <v>002501</v>
      </c>
      <c r="B324" t="str">
        <f>"利源精制"</f>
        <v>利源精制</v>
      </c>
      <c r="C324" t="str">
        <f t="shared" si="5"/>
        <v>深圳A股</v>
      </c>
    </row>
    <row r="325" spans="1:3">
      <c r="A325" t="str">
        <f>"002508"</f>
        <v>002508</v>
      </c>
      <c r="B325" t="str">
        <f>"老板电器"</f>
        <v>老板电器</v>
      </c>
      <c r="C325" t="str">
        <f t="shared" si="5"/>
        <v>深圳A股</v>
      </c>
    </row>
    <row r="326" spans="1:3">
      <c r="A326" t="str">
        <f>"002518"</f>
        <v>002518</v>
      </c>
      <c r="B326" t="str">
        <f>"科士达"</f>
        <v>科士达</v>
      </c>
      <c r="C326" t="str">
        <f t="shared" si="5"/>
        <v>深圳A股</v>
      </c>
    </row>
    <row r="327" spans="1:3">
      <c r="A327" t="str">
        <f>"002524"</f>
        <v>002524</v>
      </c>
      <c r="B327" t="str">
        <f>"光正集团"</f>
        <v>光正集团</v>
      </c>
      <c r="C327" t="str">
        <f t="shared" si="5"/>
        <v>深圳A股</v>
      </c>
    </row>
    <row r="328" spans="1:3">
      <c r="A328" t="str">
        <f>"002556"</f>
        <v>002556</v>
      </c>
      <c r="B328" t="str">
        <f>"辉隆股份"</f>
        <v>辉隆股份</v>
      </c>
      <c r="C328" t="str">
        <f t="shared" si="5"/>
        <v>深圳A股</v>
      </c>
    </row>
    <row r="329" spans="1:3">
      <c r="A329" t="str">
        <f>"002570"</f>
        <v>002570</v>
      </c>
      <c r="B329" t="str">
        <f>"贝因美"</f>
        <v>贝因美</v>
      </c>
      <c r="C329" t="str">
        <f t="shared" si="5"/>
        <v>深圳A股</v>
      </c>
    </row>
    <row r="330" spans="1:3">
      <c r="A330" t="str">
        <f>"002571"</f>
        <v>002571</v>
      </c>
      <c r="B330" t="str">
        <f>"德力股份"</f>
        <v>德力股份</v>
      </c>
      <c r="C330" t="str">
        <f t="shared" si="5"/>
        <v>深圳A股</v>
      </c>
    </row>
    <row r="331" spans="1:3">
      <c r="A331" t="str">
        <f>"002573"</f>
        <v>002573</v>
      </c>
      <c r="B331" t="str">
        <f>"清新环境"</f>
        <v>清新环境</v>
      </c>
      <c r="C331" t="str">
        <f t="shared" si="5"/>
        <v>深圳A股</v>
      </c>
    </row>
    <row r="332" spans="1:3">
      <c r="A332" t="str">
        <f>"002574"</f>
        <v>002574</v>
      </c>
      <c r="B332" t="str">
        <f>"明牌珠宝"</f>
        <v>明牌珠宝</v>
      </c>
      <c r="C332" t="str">
        <f t="shared" si="5"/>
        <v>深圳A股</v>
      </c>
    </row>
    <row r="333" spans="1:3">
      <c r="A333" t="str">
        <f>"002577"</f>
        <v>002577</v>
      </c>
      <c r="B333" t="str">
        <f>"雷柏科技"</f>
        <v>雷柏科技</v>
      </c>
      <c r="C333" t="str">
        <f t="shared" si="5"/>
        <v>深圳A股</v>
      </c>
    </row>
    <row r="334" spans="1:3">
      <c r="A334" t="str">
        <f>"002579"</f>
        <v>002579</v>
      </c>
      <c r="B334" t="str">
        <f>"中京电子"</f>
        <v>中京电子</v>
      </c>
      <c r="C334" t="str">
        <f t="shared" si="5"/>
        <v>深圳A股</v>
      </c>
    </row>
    <row r="335" spans="1:3">
      <c r="A335" t="str">
        <f>"002594"</f>
        <v>002594</v>
      </c>
      <c r="B335" t="str">
        <f>"比亚迪"</f>
        <v>比亚迪</v>
      </c>
      <c r="C335" t="str">
        <f t="shared" si="5"/>
        <v>深圳A股</v>
      </c>
    </row>
    <row r="336" spans="1:3">
      <c r="A336" t="str">
        <f>"002603"</f>
        <v>002603</v>
      </c>
      <c r="B336" t="str">
        <f>"以岭药业"</f>
        <v>以岭药业</v>
      </c>
      <c r="C336" t="str">
        <f t="shared" si="5"/>
        <v>深圳A股</v>
      </c>
    </row>
    <row r="337" spans="1:3">
      <c r="A337" t="str">
        <f>"002642"</f>
        <v>002642</v>
      </c>
      <c r="B337" t="str">
        <f>"荣之联"</f>
        <v>荣之联</v>
      </c>
      <c r="C337" t="str">
        <f t="shared" si="5"/>
        <v>深圳A股</v>
      </c>
    </row>
    <row r="338" spans="1:3">
      <c r="A338" t="str">
        <f>"002646"</f>
        <v>002646</v>
      </c>
      <c r="B338" t="str">
        <f>"青青稞酒"</f>
        <v>青青稞酒</v>
      </c>
      <c r="C338" t="str">
        <f t="shared" si="5"/>
        <v>深圳A股</v>
      </c>
    </row>
    <row r="339" spans="1:3">
      <c r="A339" t="str">
        <f>"002648"</f>
        <v>002648</v>
      </c>
      <c r="B339" t="str">
        <f>"卫星石化"</f>
        <v>卫星石化</v>
      </c>
      <c r="C339" t="str">
        <f t="shared" si="5"/>
        <v>深圳A股</v>
      </c>
    </row>
    <row r="340" spans="1:3">
      <c r="A340" t="str">
        <f>"002653"</f>
        <v>002653</v>
      </c>
      <c r="B340" t="str">
        <f>"海思科"</f>
        <v>海思科</v>
      </c>
      <c r="C340" t="str">
        <f t="shared" si="5"/>
        <v>深圳A股</v>
      </c>
    </row>
    <row r="341" spans="1:3">
      <c r="A341" t="str">
        <f>"002673"</f>
        <v>002673</v>
      </c>
      <c r="B341" t="str">
        <f>"西部证券"</f>
        <v>西部证券</v>
      </c>
      <c r="C341" t="str">
        <f t="shared" si="5"/>
        <v>深圳A股</v>
      </c>
    </row>
    <row r="342" spans="1:3">
      <c r="A342" t="str">
        <f>"002681"</f>
        <v>002681</v>
      </c>
      <c r="B342" t="str">
        <f>"奋达科技"</f>
        <v>奋达科技</v>
      </c>
      <c r="C342" t="str">
        <f t="shared" si="5"/>
        <v>深圳A股</v>
      </c>
    </row>
    <row r="343" spans="1:3">
      <c r="A343" t="str">
        <f>"002701"</f>
        <v>002701</v>
      </c>
      <c r="B343" t="str">
        <f>"奥瑞金"</f>
        <v>奥瑞金</v>
      </c>
      <c r="C343" t="str">
        <f t="shared" si="5"/>
        <v>深圳A股</v>
      </c>
    </row>
    <row r="344" spans="1:3">
      <c r="A344" t="str">
        <f>"159901"</f>
        <v>159901</v>
      </c>
      <c r="B344" t="str">
        <f>"深100ETF"</f>
        <v>深100ETF</v>
      </c>
      <c r="C344" t="str">
        <f t="shared" si="5"/>
        <v>深圳A股</v>
      </c>
    </row>
    <row r="345" spans="1:3">
      <c r="A345" t="str">
        <f>"159902"</f>
        <v>159902</v>
      </c>
      <c r="B345" t="str">
        <f>"中 小 板"</f>
        <v>中 小 板</v>
      </c>
      <c r="C345" t="str">
        <f t="shared" si="5"/>
        <v>深圳A股</v>
      </c>
    </row>
    <row r="346" spans="1:3">
      <c r="A346" t="str">
        <f>"159903"</f>
        <v>159903</v>
      </c>
      <c r="B346" t="str">
        <f>"深成ETF"</f>
        <v>深成ETF</v>
      </c>
      <c r="C346" t="str">
        <f t="shared" si="5"/>
        <v>深圳A股</v>
      </c>
    </row>
    <row r="347" spans="1:3">
      <c r="A347" t="str">
        <f>"159919"</f>
        <v>159919</v>
      </c>
      <c r="B347" t="str">
        <f>"300ETF"</f>
        <v>300ETF</v>
      </c>
      <c r="C347" t="str">
        <f t="shared" si="5"/>
        <v>深圳A股</v>
      </c>
    </row>
    <row r="348" spans="1:3">
      <c r="A348" t="str">
        <f>"159925"</f>
        <v>159925</v>
      </c>
      <c r="B348" t="str">
        <f>"南方300"</f>
        <v>南方300</v>
      </c>
      <c r="C348" t="str">
        <f t="shared" si="5"/>
        <v>深圳A股</v>
      </c>
    </row>
    <row r="349" spans="1:3">
      <c r="A349" t="str">
        <f>"159933"</f>
        <v>159933</v>
      </c>
      <c r="B349" t="str">
        <f>"金地ETF"</f>
        <v>金地ETF</v>
      </c>
      <c r="C349" t="str">
        <f t="shared" si="5"/>
        <v>深圳A股</v>
      </c>
    </row>
    <row r="350" spans="1:3">
      <c r="A350" t="str">
        <f>"300001"</f>
        <v>300001</v>
      </c>
      <c r="B350" t="str">
        <f>"特锐德"</f>
        <v>特锐德</v>
      </c>
      <c r="C350" t="str">
        <f t="shared" si="5"/>
        <v>深圳A股</v>
      </c>
    </row>
    <row r="351" spans="1:3">
      <c r="A351" t="str">
        <f>"300002"</f>
        <v>300002</v>
      </c>
      <c r="B351" t="str">
        <f>"神州泰岳"</f>
        <v>神州泰岳</v>
      </c>
      <c r="C351" t="str">
        <f t="shared" si="5"/>
        <v>深圳A股</v>
      </c>
    </row>
    <row r="352" spans="1:3">
      <c r="A352" t="str">
        <f>"300003"</f>
        <v>300003</v>
      </c>
      <c r="B352" t="str">
        <f>"乐普医疗"</f>
        <v>乐普医疗</v>
      </c>
      <c r="C352" t="str">
        <f t="shared" si="5"/>
        <v>深圳A股</v>
      </c>
    </row>
    <row r="353" spans="1:3">
      <c r="A353" t="str">
        <f>"300005"</f>
        <v>300005</v>
      </c>
      <c r="B353" t="str">
        <f>"探路者"</f>
        <v>探路者</v>
      </c>
      <c r="C353" t="str">
        <f t="shared" si="5"/>
        <v>深圳A股</v>
      </c>
    </row>
    <row r="354" spans="1:3">
      <c r="A354" t="str">
        <f>"300010"</f>
        <v>300010</v>
      </c>
      <c r="B354" t="str">
        <f>"立思辰"</f>
        <v>立思辰</v>
      </c>
      <c r="C354" t="str">
        <f t="shared" si="5"/>
        <v>深圳A股</v>
      </c>
    </row>
    <row r="355" spans="1:3">
      <c r="A355" t="str">
        <f>"300014"</f>
        <v>300014</v>
      </c>
      <c r="B355" t="str">
        <f>"亿纬锂能"</f>
        <v>亿纬锂能</v>
      </c>
      <c r="C355" t="str">
        <f t="shared" si="5"/>
        <v>深圳A股</v>
      </c>
    </row>
    <row r="356" spans="1:3">
      <c r="A356" t="str">
        <f>"300015"</f>
        <v>300015</v>
      </c>
      <c r="B356" t="str">
        <f>"爱尔眼科"</f>
        <v>爱尔眼科</v>
      </c>
      <c r="C356" t="str">
        <f t="shared" si="5"/>
        <v>深圳A股</v>
      </c>
    </row>
    <row r="357" spans="1:3">
      <c r="A357" t="str">
        <f>"300017"</f>
        <v>300017</v>
      </c>
      <c r="B357" t="str">
        <f>"网宿科技"</f>
        <v>网宿科技</v>
      </c>
      <c r="C357" t="str">
        <f t="shared" si="5"/>
        <v>深圳A股</v>
      </c>
    </row>
    <row r="358" spans="1:3">
      <c r="A358" t="str">
        <f>"300020"</f>
        <v>300020</v>
      </c>
      <c r="B358" t="str">
        <f>"银江股份"</f>
        <v>银江股份</v>
      </c>
      <c r="C358" t="str">
        <f t="shared" si="5"/>
        <v>深圳A股</v>
      </c>
    </row>
    <row r="359" spans="1:3">
      <c r="A359" t="str">
        <f>"300024"</f>
        <v>300024</v>
      </c>
      <c r="B359" t="str">
        <f>"机器人"</f>
        <v>机器人</v>
      </c>
      <c r="C359" t="str">
        <f t="shared" si="5"/>
        <v>深圳A股</v>
      </c>
    </row>
    <row r="360" spans="1:3">
      <c r="A360" t="str">
        <f>"300026"</f>
        <v>300026</v>
      </c>
      <c r="B360" t="str">
        <f>"红日药业"</f>
        <v>红日药业</v>
      </c>
      <c r="C360" t="str">
        <f t="shared" si="5"/>
        <v>深圳A股</v>
      </c>
    </row>
    <row r="361" spans="1:3">
      <c r="A361" t="str">
        <f>"300027"</f>
        <v>300027</v>
      </c>
      <c r="B361" t="str">
        <f>"华谊兄弟"</f>
        <v>华谊兄弟</v>
      </c>
      <c r="C361" t="str">
        <f t="shared" si="5"/>
        <v>深圳A股</v>
      </c>
    </row>
    <row r="362" spans="1:3">
      <c r="A362" t="str">
        <f>"300034"</f>
        <v>300034</v>
      </c>
      <c r="B362" t="str">
        <f>"钢研高纳"</f>
        <v>钢研高纳</v>
      </c>
      <c r="C362" t="str">
        <f t="shared" si="5"/>
        <v>深圳A股</v>
      </c>
    </row>
    <row r="363" spans="1:3">
      <c r="A363" t="str">
        <f>"300039"</f>
        <v>300039</v>
      </c>
      <c r="B363" t="str">
        <f>"上海凯宝"</f>
        <v>上海凯宝</v>
      </c>
      <c r="C363" t="str">
        <f t="shared" si="5"/>
        <v>深圳A股</v>
      </c>
    </row>
    <row r="364" spans="1:3">
      <c r="A364" t="str">
        <f>"300052"</f>
        <v>300052</v>
      </c>
      <c r="B364" t="str">
        <f>"中青宝"</f>
        <v>中青宝</v>
      </c>
      <c r="C364" t="str">
        <f t="shared" si="5"/>
        <v>深圳A股</v>
      </c>
    </row>
    <row r="365" spans="1:3">
      <c r="A365" t="str">
        <f>"300053"</f>
        <v>300053</v>
      </c>
      <c r="B365" t="str">
        <f>"欧比特"</f>
        <v>欧比特</v>
      </c>
      <c r="C365" t="str">
        <f t="shared" si="5"/>
        <v>深圳A股</v>
      </c>
    </row>
    <row r="366" spans="1:3">
      <c r="A366" t="str">
        <f>"300055"</f>
        <v>300055</v>
      </c>
      <c r="B366" t="str">
        <f>"万邦达"</f>
        <v>万邦达</v>
      </c>
      <c r="C366" t="str">
        <f t="shared" si="5"/>
        <v>深圳A股</v>
      </c>
    </row>
    <row r="367" spans="1:3">
      <c r="A367" t="str">
        <f>"300058"</f>
        <v>300058</v>
      </c>
      <c r="B367" t="str">
        <f>"蓝色光标"</f>
        <v>蓝色光标</v>
      </c>
      <c r="C367" t="str">
        <f t="shared" si="5"/>
        <v>深圳A股</v>
      </c>
    </row>
    <row r="368" spans="1:3">
      <c r="A368" t="str">
        <f>"300059"</f>
        <v>300059</v>
      </c>
      <c r="B368" t="str">
        <f>"东方财富"</f>
        <v>东方财富</v>
      </c>
      <c r="C368" t="str">
        <f t="shared" si="5"/>
        <v>深圳A股</v>
      </c>
    </row>
    <row r="369" spans="1:3">
      <c r="A369" t="str">
        <f>"300065"</f>
        <v>300065</v>
      </c>
      <c r="B369" t="str">
        <f>"海兰信"</f>
        <v>海兰信</v>
      </c>
      <c r="C369" t="str">
        <f t="shared" si="5"/>
        <v>深圳A股</v>
      </c>
    </row>
    <row r="370" spans="1:3">
      <c r="A370" t="str">
        <f>"300070"</f>
        <v>300070</v>
      </c>
      <c r="B370" t="str">
        <f>"碧水源"</f>
        <v>碧水源</v>
      </c>
      <c r="C370" t="str">
        <f t="shared" si="5"/>
        <v>深圳A股</v>
      </c>
    </row>
    <row r="371" spans="1:3">
      <c r="A371" t="str">
        <f>"300072"</f>
        <v>300072</v>
      </c>
      <c r="B371" t="str">
        <f>"三聚环保"</f>
        <v>三聚环保</v>
      </c>
      <c r="C371" t="str">
        <f t="shared" si="5"/>
        <v>深圳A股</v>
      </c>
    </row>
    <row r="372" spans="1:3">
      <c r="A372" t="str">
        <f>"300074"</f>
        <v>300074</v>
      </c>
      <c r="B372" t="str">
        <f>"华平股份"</f>
        <v>华平股份</v>
      </c>
      <c r="C372" t="str">
        <f t="shared" si="5"/>
        <v>深圳A股</v>
      </c>
    </row>
    <row r="373" spans="1:3">
      <c r="A373" t="str">
        <f>"300077"</f>
        <v>300077</v>
      </c>
      <c r="B373" t="str">
        <f>"国民技术"</f>
        <v>国民技术</v>
      </c>
      <c r="C373" t="str">
        <f t="shared" si="5"/>
        <v>深圳A股</v>
      </c>
    </row>
    <row r="374" spans="1:3">
      <c r="A374" t="str">
        <f>"300079"</f>
        <v>300079</v>
      </c>
      <c r="B374" t="str">
        <f>"数码视讯"</f>
        <v>数码视讯</v>
      </c>
      <c r="C374" t="str">
        <f t="shared" si="5"/>
        <v>深圳A股</v>
      </c>
    </row>
    <row r="375" spans="1:3">
      <c r="A375" t="str">
        <f>"300088"</f>
        <v>300088</v>
      </c>
      <c r="B375" t="str">
        <f>"长信科技"</f>
        <v>长信科技</v>
      </c>
      <c r="C375" t="str">
        <f t="shared" si="5"/>
        <v>深圳A股</v>
      </c>
    </row>
    <row r="376" spans="1:3">
      <c r="A376" t="str">
        <f>"300090"</f>
        <v>300090</v>
      </c>
      <c r="B376" t="str">
        <f>"盛运环保"</f>
        <v>盛运环保</v>
      </c>
      <c r="C376" t="str">
        <f t="shared" si="5"/>
        <v>深圳A股</v>
      </c>
    </row>
    <row r="377" spans="1:3">
      <c r="A377" t="str">
        <f>"300093"</f>
        <v>300093</v>
      </c>
      <c r="B377" t="str">
        <f>"金刚玻璃"</f>
        <v>金刚玻璃</v>
      </c>
      <c r="C377" t="str">
        <f t="shared" si="5"/>
        <v>深圳A股</v>
      </c>
    </row>
    <row r="378" spans="1:3">
      <c r="A378" t="str">
        <f>"300104"</f>
        <v>300104</v>
      </c>
      <c r="B378" t="str">
        <f>"乐视网"</f>
        <v>乐视网</v>
      </c>
      <c r="C378" t="str">
        <f t="shared" si="5"/>
        <v>深圳A股</v>
      </c>
    </row>
    <row r="379" spans="1:3">
      <c r="A379" t="str">
        <f>"300115"</f>
        <v>300115</v>
      </c>
      <c r="B379" t="str">
        <f>"长盈精密"</f>
        <v>长盈精密</v>
      </c>
      <c r="C379" t="str">
        <f t="shared" si="5"/>
        <v>深圳A股</v>
      </c>
    </row>
    <row r="380" spans="1:3">
      <c r="A380" t="str">
        <f>"300122"</f>
        <v>300122</v>
      </c>
      <c r="B380" t="str">
        <f>"智飞生物"</f>
        <v>智飞生物</v>
      </c>
      <c r="C380" t="str">
        <f t="shared" si="5"/>
        <v>深圳A股</v>
      </c>
    </row>
    <row r="381" spans="1:3">
      <c r="A381" t="str">
        <f>"300124"</f>
        <v>300124</v>
      </c>
      <c r="B381" t="str">
        <f>"汇川技术"</f>
        <v>汇川技术</v>
      </c>
      <c r="C381" t="str">
        <f t="shared" si="5"/>
        <v>深圳A股</v>
      </c>
    </row>
    <row r="382" spans="1:3">
      <c r="A382" t="str">
        <f>"300128"</f>
        <v>300128</v>
      </c>
      <c r="B382" t="str">
        <f>"锦富新材"</f>
        <v>锦富新材</v>
      </c>
      <c r="C382" t="str">
        <f t="shared" si="5"/>
        <v>深圳A股</v>
      </c>
    </row>
    <row r="383" spans="1:3">
      <c r="A383" t="str">
        <f>"300133"</f>
        <v>300133</v>
      </c>
      <c r="B383" t="str">
        <f>"华策影视"</f>
        <v>华策影视</v>
      </c>
      <c r="C383" t="str">
        <f t="shared" si="5"/>
        <v>深圳A股</v>
      </c>
    </row>
    <row r="384" spans="1:3">
      <c r="A384" t="str">
        <f>"300134"</f>
        <v>300134</v>
      </c>
      <c r="B384" t="str">
        <f>"大富科技"</f>
        <v>大富科技</v>
      </c>
      <c r="C384" t="str">
        <f t="shared" si="5"/>
        <v>深圳A股</v>
      </c>
    </row>
    <row r="385" spans="1:3">
      <c r="A385" t="str">
        <f>"300146"</f>
        <v>300146</v>
      </c>
      <c r="B385" t="str">
        <f>"汤臣倍健"</f>
        <v>汤臣倍健</v>
      </c>
      <c r="C385" t="str">
        <f t="shared" si="5"/>
        <v>深圳A股</v>
      </c>
    </row>
    <row r="386" spans="1:3">
      <c r="A386" t="str">
        <f>"300147"</f>
        <v>300147</v>
      </c>
      <c r="B386" t="str">
        <f>"香雪制药"</f>
        <v>香雪制药</v>
      </c>
      <c r="C386" t="str">
        <f t="shared" ref="C386:C406" si="6">"深圳A股"</f>
        <v>深圳A股</v>
      </c>
    </row>
    <row r="387" spans="1:3">
      <c r="A387" t="str">
        <f>"300152"</f>
        <v>300152</v>
      </c>
      <c r="B387" t="str">
        <f>"燃控科技"</f>
        <v>燃控科技</v>
      </c>
      <c r="C387" t="str">
        <f t="shared" si="6"/>
        <v>深圳A股</v>
      </c>
    </row>
    <row r="388" spans="1:3">
      <c r="A388" t="str">
        <f>"300157"</f>
        <v>300157</v>
      </c>
      <c r="B388" t="str">
        <f>"恒泰艾普"</f>
        <v>恒泰艾普</v>
      </c>
      <c r="C388" t="str">
        <f t="shared" si="6"/>
        <v>深圳A股</v>
      </c>
    </row>
    <row r="389" spans="1:3">
      <c r="A389" t="str">
        <f>"300168"</f>
        <v>300168</v>
      </c>
      <c r="B389" t="str">
        <f>"万达信息"</f>
        <v>万达信息</v>
      </c>
      <c r="C389" t="str">
        <f t="shared" si="6"/>
        <v>深圳A股</v>
      </c>
    </row>
    <row r="390" spans="1:3">
      <c r="A390" t="str">
        <f>"300170"</f>
        <v>300170</v>
      </c>
      <c r="B390" t="str">
        <f>"汉得信息"</f>
        <v>汉得信息</v>
      </c>
      <c r="C390" t="str">
        <f t="shared" si="6"/>
        <v>深圳A股</v>
      </c>
    </row>
    <row r="391" spans="1:3">
      <c r="A391" t="str">
        <f>"300191"</f>
        <v>300191</v>
      </c>
      <c r="B391" t="str">
        <f>"潜能恒信"</f>
        <v>潜能恒信</v>
      </c>
      <c r="C391" t="str">
        <f t="shared" si="6"/>
        <v>深圳A股</v>
      </c>
    </row>
    <row r="392" spans="1:3">
      <c r="A392" t="str">
        <f>"300199"</f>
        <v>300199</v>
      </c>
      <c r="B392" t="str">
        <f>"翰宇药业"</f>
        <v>翰宇药业</v>
      </c>
      <c r="C392" t="str">
        <f t="shared" si="6"/>
        <v>深圳A股</v>
      </c>
    </row>
    <row r="393" spans="1:3">
      <c r="A393" t="str">
        <f>"300202"</f>
        <v>300202</v>
      </c>
      <c r="B393" t="str">
        <f>"聚龙股份"</f>
        <v>聚龙股份</v>
      </c>
      <c r="C393" t="str">
        <f t="shared" si="6"/>
        <v>深圳A股</v>
      </c>
    </row>
    <row r="394" spans="1:3">
      <c r="A394" t="str">
        <f>"300203"</f>
        <v>300203</v>
      </c>
      <c r="B394" t="str">
        <f>"聚光科技"</f>
        <v>聚光科技</v>
      </c>
      <c r="C394" t="str">
        <f t="shared" si="6"/>
        <v>深圳A股</v>
      </c>
    </row>
    <row r="395" spans="1:3">
      <c r="A395" t="str">
        <f>"300205"</f>
        <v>300205</v>
      </c>
      <c r="B395" t="str">
        <f>"天喻信息"</f>
        <v>天喻信息</v>
      </c>
      <c r="C395" t="str">
        <f t="shared" si="6"/>
        <v>深圳A股</v>
      </c>
    </row>
    <row r="396" spans="1:3">
      <c r="A396" t="str">
        <f>"300212"</f>
        <v>300212</v>
      </c>
      <c r="B396" t="str">
        <f>"易华录"</f>
        <v>易华录</v>
      </c>
      <c r="C396" t="str">
        <f t="shared" si="6"/>
        <v>深圳A股</v>
      </c>
    </row>
    <row r="397" spans="1:3">
      <c r="A397" t="str">
        <f>"300216"</f>
        <v>300216</v>
      </c>
      <c r="B397" t="str">
        <f>"千山药机"</f>
        <v>千山药机</v>
      </c>
      <c r="C397" t="str">
        <f t="shared" si="6"/>
        <v>深圳A股</v>
      </c>
    </row>
    <row r="398" spans="1:3">
      <c r="A398" t="str">
        <f>"300226"</f>
        <v>300226</v>
      </c>
      <c r="B398" t="str">
        <f>"上海钢联"</f>
        <v>上海钢联</v>
      </c>
      <c r="C398" t="str">
        <f t="shared" si="6"/>
        <v>深圳A股</v>
      </c>
    </row>
    <row r="399" spans="1:3">
      <c r="A399" t="str">
        <f>"300228"</f>
        <v>300228</v>
      </c>
      <c r="B399" t="str">
        <f>"富瑞特装"</f>
        <v>富瑞特装</v>
      </c>
      <c r="C399" t="str">
        <f t="shared" si="6"/>
        <v>深圳A股</v>
      </c>
    </row>
    <row r="400" spans="1:3">
      <c r="A400" t="str">
        <f>"300251"</f>
        <v>300251</v>
      </c>
      <c r="B400" t="str">
        <f>"光线传媒"</f>
        <v>光线传媒</v>
      </c>
      <c r="C400" t="str">
        <f t="shared" si="6"/>
        <v>深圳A股</v>
      </c>
    </row>
    <row r="401" spans="1:3">
      <c r="A401" t="str">
        <f>"300253"</f>
        <v>300253</v>
      </c>
      <c r="B401" t="str">
        <f>"卫宁软件"</f>
        <v>卫宁软件</v>
      </c>
      <c r="C401" t="str">
        <f t="shared" si="6"/>
        <v>深圳A股</v>
      </c>
    </row>
    <row r="402" spans="1:3">
      <c r="A402" t="str">
        <f>"300257"</f>
        <v>300257</v>
      </c>
      <c r="B402" t="str">
        <f>"开山股份"</f>
        <v>开山股份</v>
      </c>
      <c r="C402" t="str">
        <f t="shared" si="6"/>
        <v>深圳A股</v>
      </c>
    </row>
    <row r="403" spans="1:3">
      <c r="A403" t="str">
        <f>"300273"</f>
        <v>300273</v>
      </c>
      <c r="B403" t="str">
        <f>"和佳股份"</f>
        <v>和佳股份</v>
      </c>
      <c r="C403" t="str">
        <f t="shared" si="6"/>
        <v>深圳A股</v>
      </c>
    </row>
    <row r="404" spans="1:3">
      <c r="A404" t="str">
        <f>"300274"</f>
        <v>300274</v>
      </c>
      <c r="B404" t="str">
        <f>"阳光电源"</f>
        <v>阳光电源</v>
      </c>
      <c r="C404" t="str">
        <f t="shared" si="6"/>
        <v>深圳A股</v>
      </c>
    </row>
    <row r="405" spans="1:3">
      <c r="A405" t="str">
        <f>"300315"</f>
        <v>300315</v>
      </c>
      <c r="B405" t="str">
        <f>"掌趣科技"</f>
        <v>掌趣科技</v>
      </c>
      <c r="C405" t="str">
        <f t="shared" si="6"/>
        <v>深圳A股</v>
      </c>
    </row>
    <row r="406" spans="1:3">
      <c r="A406" t="str">
        <f>"300355"</f>
        <v>300355</v>
      </c>
      <c r="B406" t="str">
        <f>"蒙草抗旱"</f>
        <v>蒙草抗旱</v>
      </c>
      <c r="C406" t="str">
        <f t="shared" si="6"/>
        <v>深圳A股</v>
      </c>
    </row>
    <row r="407" spans="1:3">
      <c r="A407" t="str">
        <f>"510010"</f>
        <v>510010</v>
      </c>
      <c r="B407" t="str">
        <f>"治理ETF"</f>
        <v>治理ETF</v>
      </c>
      <c r="C407" t="str">
        <f t="shared" ref="C407:C470" si="7">"上海A股"</f>
        <v>上海A股</v>
      </c>
    </row>
    <row r="408" spans="1:3">
      <c r="A408" t="str">
        <f>"510050"</f>
        <v>510050</v>
      </c>
      <c r="B408" t="str">
        <f>"50ETF"</f>
        <v>50ETF</v>
      </c>
      <c r="C408" t="str">
        <f t="shared" si="7"/>
        <v>上海A股</v>
      </c>
    </row>
    <row r="409" spans="1:3">
      <c r="A409" t="str">
        <f>"510180"</f>
        <v>510180</v>
      </c>
      <c r="B409" t="str">
        <f>"180ETF"</f>
        <v>180ETF</v>
      </c>
      <c r="C409" t="str">
        <f t="shared" si="7"/>
        <v>上海A股</v>
      </c>
    </row>
    <row r="410" spans="1:3">
      <c r="A410" t="str">
        <f>"510230"</f>
        <v>510230</v>
      </c>
      <c r="B410" t="str">
        <f>"金融ETF"</f>
        <v>金融ETF</v>
      </c>
      <c r="C410" t="str">
        <f t="shared" si="7"/>
        <v>上海A股</v>
      </c>
    </row>
    <row r="411" spans="1:3">
      <c r="A411" t="str">
        <f>"510300"</f>
        <v>510300</v>
      </c>
      <c r="B411" t="str">
        <f>"300ETF"</f>
        <v>300ETF</v>
      </c>
      <c r="C411" t="str">
        <f t="shared" si="7"/>
        <v>上海A股</v>
      </c>
    </row>
    <row r="412" spans="1:3">
      <c r="A412" t="str">
        <f>"510310"</f>
        <v>510310</v>
      </c>
      <c r="B412" t="str">
        <f>"HS300ETF"</f>
        <v>HS300ETF</v>
      </c>
      <c r="C412" t="str">
        <f t="shared" si="7"/>
        <v>上海A股</v>
      </c>
    </row>
    <row r="413" spans="1:3">
      <c r="A413" t="str">
        <f>"510330"</f>
        <v>510330</v>
      </c>
      <c r="B413" t="str">
        <f>"华夏300"</f>
        <v>华夏300</v>
      </c>
      <c r="C413" t="str">
        <f t="shared" si="7"/>
        <v>上海A股</v>
      </c>
    </row>
    <row r="414" spans="1:3">
      <c r="A414" t="str">
        <f>"510500"</f>
        <v>510500</v>
      </c>
      <c r="B414" t="str">
        <f>"500ETF"</f>
        <v>500ETF</v>
      </c>
      <c r="C414" t="str">
        <f t="shared" si="7"/>
        <v>上海A股</v>
      </c>
    </row>
    <row r="415" spans="1:3">
      <c r="A415" t="str">
        <f>"510510"</f>
        <v>510510</v>
      </c>
      <c r="B415" t="str">
        <f>"广发500"</f>
        <v>广发500</v>
      </c>
      <c r="C415" t="str">
        <f t="shared" si="7"/>
        <v>上海A股</v>
      </c>
    </row>
    <row r="416" spans="1:3">
      <c r="A416" t="str">
        <f>"510880"</f>
        <v>510880</v>
      </c>
      <c r="B416" t="str">
        <f>"红利ETF"</f>
        <v>红利ETF</v>
      </c>
      <c r="C416" t="str">
        <f t="shared" si="7"/>
        <v>上海A股</v>
      </c>
    </row>
    <row r="417" spans="1:3">
      <c r="A417" t="str">
        <f>"510900"</f>
        <v>510900</v>
      </c>
      <c r="B417" t="str">
        <f>"H股ETF"</f>
        <v>H股ETF</v>
      </c>
      <c r="C417" t="str">
        <f t="shared" si="7"/>
        <v>上海A股</v>
      </c>
    </row>
    <row r="418" spans="1:3">
      <c r="A418" t="str">
        <f>"512070"</f>
        <v>512070</v>
      </c>
      <c r="B418" t="str">
        <f>"非银ETF"</f>
        <v>非银ETF</v>
      </c>
      <c r="C418" t="str">
        <f t="shared" si="7"/>
        <v>上海A股</v>
      </c>
    </row>
    <row r="419" spans="1:3">
      <c r="A419" t="str">
        <f>"512990"</f>
        <v>512990</v>
      </c>
      <c r="B419" t="str">
        <f>"MSCIA股"</f>
        <v>MSCIA股</v>
      </c>
      <c r="C419" t="str">
        <f t="shared" si="7"/>
        <v>上海A股</v>
      </c>
    </row>
    <row r="420" spans="1:3">
      <c r="A420" t="str">
        <f>"600000"</f>
        <v>600000</v>
      </c>
      <c r="B420" t="str">
        <f>"浦发银行"</f>
        <v>浦发银行</v>
      </c>
      <c r="C420" t="str">
        <f t="shared" si="7"/>
        <v>上海A股</v>
      </c>
    </row>
    <row r="421" spans="1:3">
      <c r="A421" t="str">
        <f>"600005"</f>
        <v>600005</v>
      </c>
      <c r="B421" t="str">
        <f>"武钢股份"</f>
        <v>武钢股份</v>
      </c>
      <c r="C421" t="str">
        <f t="shared" si="7"/>
        <v>上海A股</v>
      </c>
    </row>
    <row r="422" spans="1:3">
      <c r="A422" t="str">
        <f>"600006"</f>
        <v>600006</v>
      </c>
      <c r="B422" t="str">
        <f>"东风汽车"</f>
        <v>东风汽车</v>
      </c>
      <c r="C422" t="str">
        <f t="shared" si="7"/>
        <v>上海A股</v>
      </c>
    </row>
    <row r="423" spans="1:3">
      <c r="A423" t="str">
        <f>"600007"</f>
        <v>600007</v>
      </c>
      <c r="B423" t="str">
        <f>"中国国贸"</f>
        <v>中国国贸</v>
      </c>
      <c r="C423" t="str">
        <f t="shared" si="7"/>
        <v>上海A股</v>
      </c>
    </row>
    <row r="424" spans="1:3">
      <c r="A424" t="str">
        <f>"600008"</f>
        <v>600008</v>
      </c>
      <c r="B424" t="str">
        <f>"首创股份"</f>
        <v>首创股份</v>
      </c>
      <c r="C424" t="str">
        <f t="shared" si="7"/>
        <v>上海A股</v>
      </c>
    </row>
    <row r="425" spans="1:3">
      <c r="A425" t="str">
        <f>"600009"</f>
        <v>600009</v>
      </c>
      <c r="B425" t="str">
        <f>"上海机场"</f>
        <v>上海机场</v>
      </c>
      <c r="C425" t="str">
        <f t="shared" si="7"/>
        <v>上海A股</v>
      </c>
    </row>
    <row r="426" spans="1:3">
      <c r="A426" t="str">
        <f>"600010"</f>
        <v>600010</v>
      </c>
      <c r="B426" t="str">
        <f>"包钢股份"</f>
        <v>包钢股份</v>
      </c>
      <c r="C426" t="str">
        <f t="shared" si="7"/>
        <v>上海A股</v>
      </c>
    </row>
    <row r="427" spans="1:3">
      <c r="A427" t="str">
        <f>"600011"</f>
        <v>600011</v>
      </c>
      <c r="B427" t="str">
        <f>"华能国际"</f>
        <v>华能国际</v>
      </c>
      <c r="C427" t="str">
        <f t="shared" si="7"/>
        <v>上海A股</v>
      </c>
    </row>
    <row r="428" spans="1:3">
      <c r="A428" t="str">
        <f>"600015"</f>
        <v>600015</v>
      </c>
      <c r="B428" t="str">
        <f>"华夏银行"</f>
        <v>华夏银行</v>
      </c>
      <c r="C428" t="str">
        <f t="shared" si="7"/>
        <v>上海A股</v>
      </c>
    </row>
    <row r="429" spans="1:3">
      <c r="A429" t="str">
        <f>"600016"</f>
        <v>600016</v>
      </c>
      <c r="B429" t="str">
        <f>"民生银行"</f>
        <v>民生银行</v>
      </c>
      <c r="C429" t="str">
        <f t="shared" si="7"/>
        <v>上海A股</v>
      </c>
    </row>
    <row r="430" spans="1:3">
      <c r="A430" t="str">
        <f>"600017"</f>
        <v>600017</v>
      </c>
      <c r="B430" t="str">
        <f>"日照港"</f>
        <v>日照港</v>
      </c>
      <c r="C430" t="str">
        <f t="shared" si="7"/>
        <v>上海A股</v>
      </c>
    </row>
    <row r="431" spans="1:3">
      <c r="A431" t="str">
        <f>"600018"</f>
        <v>600018</v>
      </c>
      <c r="B431" t="str">
        <f>"上港集团"</f>
        <v>上港集团</v>
      </c>
      <c r="C431" t="str">
        <f t="shared" si="7"/>
        <v>上海A股</v>
      </c>
    </row>
    <row r="432" spans="1:3">
      <c r="A432" t="str">
        <f>"600019"</f>
        <v>600019</v>
      </c>
      <c r="B432" t="str">
        <f>"宝钢股份"</f>
        <v>宝钢股份</v>
      </c>
      <c r="C432" t="str">
        <f t="shared" si="7"/>
        <v>上海A股</v>
      </c>
    </row>
    <row r="433" spans="1:3">
      <c r="A433" t="str">
        <f>"600021"</f>
        <v>600021</v>
      </c>
      <c r="B433" t="str">
        <f>"上海电力"</f>
        <v>上海电力</v>
      </c>
      <c r="C433" t="str">
        <f t="shared" si="7"/>
        <v>上海A股</v>
      </c>
    </row>
    <row r="434" spans="1:3">
      <c r="A434" t="str">
        <f>"600022"</f>
        <v>600022</v>
      </c>
      <c r="B434" t="str">
        <f>"山东钢铁"</f>
        <v>山东钢铁</v>
      </c>
      <c r="C434" t="str">
        <f t="shared" si="7"/>
        <v>上海A股</v>
      </c>
    </row>
    <row r="435" spans="1:3">
      <c r="A435" t="str">
        <f>"600023"</f>
        <v>600023</v>
      </c>
      <c r="B435" t="str">
        <f>"浙能电力"</f>
        <v>浙能电力</v>
      </c>
      <c r="C435" t="str">
        <f t="shared" si="7"/>
        <v>上海A股</v>
      </c>
    </row>
    <row r="436" spans="1:3">
      <c r="A436" t="str">
        <f>"600026"</f>
        <v>600026</v>
      </c>
      <c r="B436" t="str">
        <f>"中海发展"</f>
        <v>中海发展</v>
      </c>
      <c r="C436" t="str">
        <f t="shared" si="7"/>
        <v>上海A股</v>
      </c>
    </row>
    <row r="437" spans="1:3">
      <c r="A437" t="str">
        <f>"600027"</f>
        <v>600027</v>
      </c>
      <c r="B437" t="str">
        <f>"华电国际"</f>
        <v>华电国际</v>
      </c>
      <c r="C437" t="str">
        <f t="shared" si="7"/>
        <v>上海A股</v>
      </c>
    </row>
    <row r="438" spans="1:3">
      <c r="A438" t="str">
        <f>"600028"</f>
        <v>600028</v>
      </c>
      <c r="B438" t="str">
        <f>"中国石化"</f>
        <v>中国石化</v>
      </c>
      <c r="C438" t="str">
        <f t="shared" si="7"/>
        <v>上海A股</v>
      </c>
    </row>
    <row r="439" spans="1:3">
      <c r="A439" t="str">
        <f>"600029"</f>
        <v>600029</v>
      </c>
      <c r="B439" t="str">
        <f>"南方航空"</f>
        <v>南方航空</v>
      </c>
      <c r="C439" t="str">
        <f t="shared" si="7"/>
        <v>上海A股</v>
      </c>
    </row>
    <row r="440" spans="1:3">
      <c r="A440" t="str">
        <f>"600030"</f>
        <v>600030</v>
      </c>
      <c r="B440" t="str">
        <f>"中信证券"</f>
        <v>中信证券</v>
      </c>
      <c r="C440" t="str">
        <f t="shared" si="7"/>
        <v>上海A股</v>
      </c>
    </row>
    <row r="441" spans="1:3">
      <c r="A441" t="str">
        <f>"600031"</f>
        <v>600031</v>
      </c>
      <c r="B441" t="str">
        <f>"三一重工"</f>
        <v>三一重工</v>
      </c>
      <c r="C441" t="str">
        <f t="shared" si="7"/>
        <v>上海A股</v>
      </c>
    </row>
    <row r="442" spans="1:3">
      <c r="A442" t="str">
        <f>"600036"</f>
        <v>600036</v>
      </c>
      <c r="B442" t="str">
        <f>"招商银行"</f>
        <v>招商银行</v>
      </c>
      <c r="C442" t="str">
        <f t="shared" si="7"/>
        <v>上海A股</v>
      </c>
    </row>
    <row r="443" spans="1:3">
      <c r="A443" t="str">
        <f>"600037"</f>
        <v>600037</v>
      </c>
      <c r="B443" t="str">
        <f>"歌华有线"</f>
        <v>歌华有线</v>
      </c>
      <c r="C443" t="str">
        <f t="shared" si="7"/>
        <v>上海A股</v>
      </c>
    </row>
    <row r="444" spans="1:3">
      <c r="A444" t="str">
        <f>"600038"</f>
        <v>600038</v>
      </c>
      <c r="B444" t="str">
        <f>"中直股份"</f>
        <v>中直股份</v>
      </c>
      <c r="C444" t="str">
        <f t="shared" si="7"/>
        <v>上海A股</v>
      </c>
    </row>
    <row r="445" spans="1:3">
      <c r="A445" t="str">
        <f>"600039"</f>
        <v>600039</v>
      </c>
      <c r="B445" t="str">
        <f>"四川路桥"</f>
        <v>四川路桥</v>
      </c>
      <c r="C445" t="str">
        <f t="shared" si="7"/>
        <v>上海A股</v>
      </c>
    </row>
    <row r="446" spans="1:3">
      <c r="A446" t="str">
        <f>"600048"</f>
        <v>600048</v>
      </c>
      <c r="B446" t="str">
        <f>"保利地产"</f>
        <v>保利地产</v>
      </c>
      <c r="C446" t="str">
        <f t="shared" si="7"/>
        <v>上海A股</v>
      </c>
    </row>
    <row r="447" spans="1:3">
      <c r="A447" t="str">
        <f>"600050"</f>
        <v>600050</v>
      </c>
      <c r="B447" t="str">
        <f>"中国联通"</f>
        <v>中国联通</v>
      </c>
      <c r="C447" t="str">
        <f t="shared" si="7"/>
        <v>上海A股</v>
      </c>
    </row>
    <row r="448" spans="1:3">
      <c r="A448" t="str">
        <f>"600056"</f>
        <v>600056</v>
      </c>
      <c r="B448" t="str">
        <f>"中国医药"</f>
        <v>中国医药</v>
      </c>
      <c r="C448" t="str">
        <f t="shared" si="7"/>
        <v>上海A股</v>
      </c>
    </row>
    <row r="449" spans="1:3">
      <c r="A449" t="str">
        <f>"600058"</f>
        <v>600058</v>
      </c>
      <c r="B449" t="str">
        <f>"五矿发展"</f>
        <v>五矿发展</v>
      </c>
      <c r="C449" t="str">
        <f t="shared" si="7"/>
        <v>上海A股</v>
      </c>
    </row>
    <row r="450" spans="1:3">
      <c r="A450" t="str">
        <f>"600059"</f>
        <v>600059</v>
      </c>
      <c r="B450" t="str">
        <f>"古越龙山"</f>
        <v>古越龙山</v>
      </c>
      <c r="C450" t="str">
        <f t="shared" si="7"/>
        <v>上海A股</v>
      </c>
    </row>
    <row r="451" spans="1:3">
      <c r="A451" t="str">
        <f>"600060"</f>
        <v>600060</v>
      </c>
      <c r="B451" t="str">
        <f>"海信电器"</f>
        <v>海信电器</v>
      </c>
      <c r="C451" t="str">
        <f t="shared" si="7"/>
        <v>上海A股</v>
      </c>
    </row>
    <row r="452" spans="1:3">
      <c r="A452" t="str">
        <f>"600062"</f>
        <v>600062</v>
      </c>
      <c r="B452" t="str">
        <f>"华润双鹤"</f>
        <v>华润双鹤</v>
      </c>
      <c r="C452" t="str">
        <f t="shared" si="7"/>
        <v>上海A股</v>
      </c>
    </row>
    <row r="453" spans="1:3">
      <c r="A453" t="str">
        <f>"600063"</f>
        <v>600063</v>
      </c>
      <c r="B453" t="str">
        <f>"皖维高新"</f>
        <v>皖维高新</v>
      </c>
      <c r="C453" t="str">
        <f t="shared" si="7"/>
        <v>上海A股</v>
      </c>
    </row>
    <row r="454" spans="1:3">
      <c r="A454" t="str">
        <f>"600066"</f>
        <v>600066</v>
      </c>
      <c r="B454" t="str">
        <f>"宇通客车"</f>
        <v>宇通客车</v>
      </c>
      <c r="C454" t="str">
        <f t="shared" si="7"/>
        <v>上海A股</v>
      </c>
    </row>
    <row r="455" spans="1:3">
      <c r="A455" t="str">
        <f>"600067"</f>
        <v>600067</v>
      </c>
      <c r="B455" t="str">
        <f>"冠城大通"</f>
        <v>冠城大通</v>
      </c>
      <c r="C455" t="str">
        <f t="shared" si="7"/>
        <v>上海A股</v>
      </c>
    </row>
    <row r="456" spans="1:3">
      <c r="A456" t="str">
        <f>"600068"</f>
        <v>600068</v>
      </c>
      <c r="B456" t="str">
        <f>"葛洲坝"</f>
        <v>葛洲坝</v>
      </c>
      <c r="C456" t="str">
        <f t="shared" si="7"/>
        <v>上海A股</v>
      </c>
    </row>
    <row r="457" spans="1:3">
      <c r="A457" t="str">
        <f>"600073"</f>
        <v>600073</v>
      </c>
      <c r="B457" t="str">
        <f>"上海梅林"</f>
        <v>上海梅林</v>
      </c>
      <c r="C457" t="str">
        <f t="shared" si="7"/>
        <v>上海A股</v>
      </c>
    </row>
    <row r="458" spans="1:3">
      <c r="A458" t="str">
        <f>"600077"</f>
        <v>600077</v>
      </c>
      <c r="B458" t="str">
        <f>"宋都股份"</f>
        <v>宋都股份</v>
      </c>
      <c r="C458" t="str">
        <f t="shared" si="7"/>
        <v>上海A股</v>
      </c>
    </row>
    <row r="459" spans="1:3">
      <c r="A459" t="str">
        <f>"600078"</f>
        <v>600078</v>
      </c>
      <c r="B459" t="str">
        <f>"澄星股份"</f>
        <v>澄星股份</v>
      </c>
      <c r="C459" t="str">
        <f t="shared" si="7"/>
        <v>上海A股</v>
      </c>
    </row>
    <row r="460" spans="1:3">
      <c r="A460" t="str">
        <f>"600079"</f>
        <v>600079</v>
      </c>
      <c r="B460" t="str">
        <f>"人福医药"</f>
        <v>人福医药</v>
      </c>
      <c r="C460" t="str">
        <f t="shared" si="7"/>
        <v>上海A股</v>
      </c>
    </row>
    <row r="461" spans="1:3">
      <c r="A461" t="str">
        <f>"600085"</f>
        <v>600085</v>
      </c>
      <c r="B461" t="str">
        <f>"同仁堂"</f>
        <v>同仁堂</v>
      </c>
      <c r="C461" t="str">
        <f t="shared" si="7"/>
        <v>上海A股</v>
      </c>
    </row>
    <row r="462" spans="1:3">
      <c r="A462" t="str">
        <f>"600086"</f>
        <v>600086</v>
      </c>
      <c r="B462" t="str">
        <f>"东方金钰"</f>
        <v>东方金钰</v>
      </c>
      <c r="C462" t="str">
        <f t="shared" si="7"/>
        <v>上海A股</v>
      </c>
    </row>
    <row r="463" spans="1:3">
      <c r="A463" t="str">
        <f>"600088"</f>
        <v>600088</v>
      </c>
      <c r="B463" t="str">
        <f>"中视传媒"</f>
        <v>中视传媒</v>
      </c>
      <c r="C463" t="str">
        <f t="shared" si="7"/>
        <v>上海A股</v>
      </c>
    </row>
    <row r="464" spans="1:3">
      <c r="A464" t="str">
        <f>"600089"</f>
        <v>600089</v>
      </c>
      <c r="B464" t="str">
        <f>"特变电工"</f>
        <v>特变电工</v>
      </c>
      <c r="C464" t="str">
        <f t="shared" si="7"/>
        <v>上海A股</v>
      </c>
    </row>
    <row r="465" spans="1:3">
      <c r="A465" t="str">
        <f>"600094"</f>
        <v>600094</v>
      </c>
      <c r="B465" t="str">
        <f>"大名城"</f>
        <v>大名城</v>
      </c>
      <c r="C465" t="str">
        <f t="shared" si="7"/>
        <v>上海A股</v>
      </c>
    </row>
    <row r="466" spans="1:3">
      <c r="A466" t="str">
        <f>"600096"</f>
        <v>600096</v>
      </c>
      <c r="B466" t="str">
        <f>"云天化"</f>
        <v>云天化</v>
      </c>
      <c r="C466" t="str">
        <f t="shared" si="7"/>
        <v>上海A股</v>
      </c>
    </row>
    <row r="467" spans="1:3">
      <c r="A467" t="str">
        <f>"600098"</f>
        <v>600098</v>
      </c>
      <c r="B467" t="str">
        <f>"广州发展"</f>
        <v>广州发展</v>
      </c>
      <c r="C467" t="str">
        <f t="shared" si="7"/>
        <v>上海A股</v>
      </c>
    </row>
    <row r="468" spans="1:3">
      <c r="A468" t="str">
        <f>"600100"</f>
        <v>600100</v>
      </c>
      <c r="B468" t="str">
        <f>"同方股份"</f>
        <v>同方股份</v>
      </c>
      <c r="C468" t="str">
        <f t="shared" si="7"/>
        <v>上海A股</v>
      </c>
    </row>
    <row r="469" spans="1:3">
      <c r="A469" t="str">
        <f>"600104"</f>
        <v>600104</v>
      </c>
      <c r="B469" t="str">
        <f>"上汽集团"</f>
        <v>上汽集团</v>
      </c>
      <c r="C469" t="str">
        <f t="shared" si="7"/>
        <v>上海A股</v>
      </c>
    </row>
    <row r="470" spans="1:3">
      <c r="A470" t="str">
        <f>"600107"</f>
        <v>600107</v>
      </c>
      <c r="B470" t="str">
        <f>"美尔雅"</f>
        <v>美尔雅</v>
      </c>
      <c r="C470" t="str">
        <f t="shared" si="7"/>
        <v>上海A股</v>
      </c>
    </row>
    <row r="471" spans="1:3">
      <c r="A471" t="str">
        <f>"600108"</f>
        <v>600108</v>
      </c>
      <c r="B471" t="str">
        <f>"亚盛集团"</f>
        <v>亚盛集团</v>
      </c>
      <c r="C471" t="str">
        <f t="shared" ref="C471:C534" si="8">"上海A股"</f>
        <v>上海A股</v>
      </c>
    </row>
    <row r="472" spans="1:3">
      <c r="A472" t="str">
        <f>"600109"</f>
        <v>600109</v>
      </c>
      <c r="B472" t="str">
        <f>"国金证券"</f>
        <v>国金证券</v>
      </c>
      <c r="C472" t="str">
        <f t="shared" si="8"/>
        <v>上海A股</v>
      </c>
    </row>
    <row r="473" spans="1:3">
      <c r="A473" t="str">
        <f>"600110"</f>
        <v>600110</v>
      </c>
      <c r="B473" t="str">
        <f>"中科英华"</f>
        <v>中科英华</v>
      </c>
      <c r="C473" t="str">
        <f t="shared" si="8"/>
        <v>上海A股</v>
      </c>
    </row>
    <row r="474" spans="1:3">
      <c r="A474" t="str">
        <f>"600111"</f>
        <v>600111</v>
      </c>
      <c r="B474" t="str">
        <f>"北方稀土"</f>
        <v>北方稀土</v>
      </c>
      <c r="C474" t="str">
        <f t="shared" si="8"/>
        <v>上海A股</v>
      </c>
    </row>
    <row r="475" spans="1:3">
      <c r="A475" t="str">
        <f>"600112"</f>
        <v>600112</v>
      </c>
      <c r="B475" t="str">
        <f>"天成控股"</f>
        <v>天成控股</v>
      </c>
      <c r="C475" t="str">
        <f t="shared" si="8"/>
        <v>上海A股</v>
      </c>
    </row>
    <row r="476" spans="1:3">
      <c r="A476" t="str">
        <f>"600113"</f>
        <v>600113</v>
      </c>
      <c r="B476" t="str">
        <f>"浙江东日"</f>
        <v>浙江东日</v>
      </c>
      <c r="C476" t="str">
        <f t="shared" si="8"/>
        <v>上海A股</v>
      </c>
    </row>
    <row r="477" spans="1:3">
      <c r="A477" t="str">
        <f>"600115"</f>
        <v>600115</v>
      </c>
      <c r="B477" t="str">
        <f>"东方航空"</f>
        <v>东方航空</v>
      </c>
      <c r="C477" t="str">
        <f t="shared" si="8"/>
        <v>上海A股</v>
      </c>
    </row>
    <row r="478" spans="1:3">
      <c r="A478" t="str">
        <f>"600116"</f>
        <v>600116</v>
      </c>
      <c r="B478" t="str">
        <f>"三峡水利"</f>
        <v>三峡水利</v>
      </c>
      <c r="C478" t="str">
        <f t="shared" si="8"/>
        <v>上海A股</v>
      </c>
    </row>
    <row r="479" spans="1:3">
      <c r="A479" t="str">
        <f>"600118"</f>
        <v>600118</v>
      </c>
      <c r="B479" t="str">
        <f>"中国卫星"</f>
        <v>中国卫星</v>
      </c>
      <c r="C479" t="str">
        <f t="shared" si="8"/>
        <v>上海A股</v>
      </c>
    </row>
    <row r="480" spans="1:3">
      <c r="A480" t="str">
        <f>"600119"</f>
        <v>600119</v>
      </c>
      <c r="B480" t="str">
        <f>"长江投资"</f>
        <v>长江投资</v>
      </c>
      <c r="C480" t="str">
        <f t="shared" si="8"/>
        <v>上海A股</v>
      </c>
    </row>
    <row r="481" spans="1:3">
      <c r="A481" t="str">
        <f>"600120"</f>
        <v>600120</v>
      </c>
      <c r="B481" t="str">
        <f>"浙江东方"</f>
        <v>浙江东方</v>
      </c>
      <c r="C481" t="str">
        <f t="shared" si="8"/>
        <v>上海A股</v>
      </c>
    </row>
    <row r="482" spans="1:3">
      <c r="A482" t="str">
        <f>"600123"</f>
        <v>600123</v>
      </c>
      <c r="B482" t="str">
        <f>"兰花科创"</f>
        <v>兰花科创</v>
      </c>
      <c r="C482" t="str">
        <f t="shared" si="8"/>
        <v>上海A股</v>
      </c>
    </row>
    <row r="483" spans="1:3">
      <c r="A483" t="str">
        <f>"600125"</f>
        <v>600125</v>
      </c>
      <c r="B483" t="str">
        <f>"铁龙物流"</f>
        <v>铁龙物流</v>
      </c>
      <c r="C483" t="str">
        <f t="shared" si="8"/>
        <v>上海A股</v>
      </c>
    </row>
    <row r="484" spans="1:3">
      <c r="A484" t="str">
        <f>"600132"</f>
        <v>600132</v>
      </c>
      <c r="B484" t="str">
        <f>"重庆啤酒"</f>
        <v>重庆啤酒</v>
      </c>
      <c r="C484" t="str">
        <f t="shared" si="8"/>
        <v>上海A股</v>
      </c>
    </row>
    <row r="485" spans="1:3">
      <c r="A485" t="str">
        <f>"600135"</f>
        <v>600135</v>
      </c>
      <c r="B485" t="str">
        <f>"乐凯胶片"</f>
        <v>乐凯胶片</v>
      </c>
      <c r="C485" t="str">
        <f t="shared" si="8"/>
        <v>上海A股</v>
      </c>
    </row>
    <row r="486" spans="1:3">
      <c r="A486" t="str">
        <f>"600138"</f>
        <v>600138</v>
      </c>
      <c r="B486" t="str">
        <f>"中青旅"</f>
        <v>中青旅</v>
      </c>
      <c r="C486" t="str">
        <f t="shared" si="8"/>
        <v>上海A股</v>
      </c>
    </row>
    <row r="487" spans="1:3">
      <c r="A487" t="str">
        <f>"600139"</f>
        <v>600139</v>
      </c>
      <c r="B487" t="str">
        <f>"西部资源"</f>
        <v>西部资源</v>
      </c>
      <c r="C487" t="str">
        <f t="shared" si="8"/>
        <v>上海A股</v>
      </c>
    </row>
    <row r="488" spans="1:3">
      <c r="A488" t="str">
        <f>"600141"</f>
        <v>600141</v>
      </c>
      <c r="B488" t="str">
        <f>"兴发集团"</f>
        <v>兴发集团</v>
      </c>
      <c r="C488" t="str">
        <f t="shared" si="8"/>
        <v>上海A股</v>
      </c>
    </row>
    <row r="489" spans="1:3">
      <c r="A489" t="str">
        <f>"600143"</f>
        <v>600143</v>
      </c>
      <c r="B489" t="str">
        <f>"金发科技"</f>
        <v>金发科技</v>
      </c>
      <c r="C489" t="str">
        <f t="shared" si="8"/>
        <v>上海A股</v>
      </c>
    </row>
    <row r="490" spans="1:3">
      <c r="A490" t="str">
        <f>"600146"</f>
        <v>600146</v>
      </c>
      <c r="B490" t="str">
        <f>"大元股份"</f>
        <v>大元股份</v>
      </c>
      <c r="C490" t="str">
        <f t="shared" si="8"/>
        <v>上海A股</v>
      </c>
    </row>
    <row r="491" spans="1:3">
      <c r="A491" t="str">
        <f>"600149"</f>
        <v>600149</v>
      </c>
      <c r="B491" t="str">
        <f>"廊坊发展"</f>
        <v>廊坊发展</v>
      </c>
      <c r="C491" t="str">
        <f t="shared" si="8"/>
        <v>上海A股</v>
      </c>
    </row>
    <row r="492" spans="1:3">
      <c r="A492" t="str">
        <f>"600150"</f>
        <v>600150</v>
      </c>
      <c r="B492" t="str">
        <f>"中国船舶"</f>
        <v>中国船舶</v>
      </c>
      <c r="C492" t="str">
        <f t="shared" si="8"/>
        <v>上海A股</v>
      </c>
    </row>
    <row r="493" spans="1:3">
      <c r="A493" t="str">
        <f>"600151"</f>
        <v>600151</v>
      </c>
      <c r="B493" t="str">
        <f>"航天机电"</f>
        <v>航天机电</v>
      </c>
      <c r="C493" t="str">
        <f t="shared" si="8"/>
        <v>上海A股</v>
      </c>
    </row>
    <row r="494" spans="1:3">
      <c r="A494" t="str">
        <f>"600153"</f>
        <v>600153</v>
      </c>
      <c r="B494" t="str">
        <f>"建发股份"</f>
        <v>建发股份</v>
      </c>
      <c r="C494" t="str">
        <f t="shared" si="8"/>
        <v>上海A股</v>
      </c>
    </row>
    <row r="495" spans="1:3">
      <c r="A495" t="str">
        <f>"600155"</f>
        <v>600155</v>
      </c>
      <c r="B495" t="str">
        <f>"宝硕股份"</f>
        <v>宝硕股份</v>
      </c>
      <c r="C495" t="str">
        <f t="shared" si="8"/>
        <v>上海A股</v>
      </c>
    </row>
    <row r="496" spans="1:3">
      <c r="A496" t="str">
        <f>"600157"</f>
        <v>600157</v>
      </c>
      <c r="B496" t="str">
        <f>"永泰能源"</f>
        <v>永泰能源</v>
      </c>
      <c r="C496" t="str">
        <f t="shared" si="8"/>
        <v>上海A股</v>
      </c>
    </row>
    <row r="497" spans="1:3">
      <c r="A497" t="str">
        <f>"600158"</f>
        <v>600158</v>
      </c>
      <c r="B497" t="str">
        <f>"中体产业"</f>
        <v>中体产业</v>
      </c>
      <c r="C497" t="str">
        <f t="shared" si="8"/>
        <v>上海A股</v>
      </c>
    </row>
    <row r="498" spans="1:3">
      <c r="A498" t="str">
        <f>"600160"</f>
        <v>600160</v>
      </c>
      <c r="B498" t="str">
        <f>"巨化股份"</f>
        <v>巨化股份</v>
      </c>
      <c r="C498" t="str">
        <f t="shared" si="8"/>
        <v>上海A股</v>
      </c>
    </row>
    <row r="499" spans="1:3">
      <c r="A499" t="str">
        <f>"600161"</f>
        <v>600161</v>
      </c>
      <c r="B499" t="str">
        <f>"天坛生物"</f>
        <v>天坛生物</v>
      </c>
      <c r="C499" t="str">
        <f t="shared" si="8"/>
        <v>上海A股</v>
      </c>
    </row>
    <row r="500" spans="1:3">
      <c r="A500" t="str">
        <f>"600166"</f>
        <v>600166</v>
      </c>
      <c r="B500" t="str">
        <f>"福田汽车"</f>
        <v>福田汽车</v>
      </c>
      <c r="C500" t="str">
        <f t="shared" si="8"/>
        <v>上海A股</v>
      </c>
    </row>
    <row r="501" spans="1:3">
      <c r="A501" t="str">
        <f>"600169"</f>
        <v>600169</v>
      </c>
      <c r="B501" t="str">
        <f>"太原重工"</f>
        <v>太原重工</v>
      </c>
      <c r="C501" t="str">
        <f t="shared" si="8"/>
        <v>上海A股</v>
      </c>
    </row>
    <row r="502" spans="1:3">
      <c r="A502" t="str">
        <f>"600170"</f>
        <v>600170</v>
      </c>
      <c r="B502" t="str">
        <f>"上海建工"</f>
        <v>上海建工</v>
      </c>
      <c r="C502" t="str">
        <f t="shared" si="8"/>
        <v>上海A股</v>
      </c>
    </row>
    <row r="503" spans="1:3">
      <c r="A503" t="str">
        <f>"600171"</f>
        <v>600171</v>
      </c>
      <c r="B503" t="str">
        <f>"上海贝岭"</f>
        <v>上海贝岭</v>
      </c>
      <c r="C503" t="str">
        <f t="shared" si="8"/>
        <v>上海A股</v>
      </c>
    </row>
    <row r="504" spans="1:3">
      <c r="A504" t="str">
        <f>"600175"</f>
        <v>600175</v>
      </c>
      <c r="B504" t="str">
        <f>"美都能源"</f>
        <v>美都能源</v>
      </c>
      <c r="C504" t="str">
        <f t="shared" si="8"/>
        <v>上海A股</v>
      </c>
    </row>
    <row r="505" spans="1:3">
      <c r="A505" t="str">
        <f>"600176"</f>
        <v>600176</v>
      </c>
      <c r="B505" t="str">
        <f>"中国巨石"</f>
        <v>中国巨石</v>
      </c>
      <c r="C505" t="str">
        <f t="shared" si="8"/>
        <v>上海A股</v>
      </c>
    </row>
    <row r="506" spans="1:3">
      <c r="A506" t="str">
        <f>"600177"</f>
        <v>600177</v>
      </c>
      <c r="B506" t="str">
        <f>"雅戈尔"</f>
        <v>雅戈尔</v>
      </c>
      <c r="C506" t="str">
        <f t="shared" si="8"/>
        <v>上海A股</v>
      </c>
    </row>
    <row r="507" spans="1:3">
      <c r="A507" t="str">
        <f>"600179"</f>
        <v>600179</v>
      </c>
      <c r="B507" t="str">
        <f>"黑化股份"</f>
        <v>黑化股份</v>
      </c>
      <c r="C507" t="str">
        <f t="shared" si="8"/>
        <v>上海A股</v>
      </c>
    </row>
    <row r="508" spans="1:3">
      <c r="A508" t="str">
        <f>"600183"</f>
        <v>600183</v>
      </c>
      <c r="B508" t="str">
        <f>"生益科技"</f>
        <v>生益科技</v>
      </c>
      <c r="C508" t="str">
        <f t="shared" si="8"/>
        <v>上海A股</v>
      </c>
    </row>
    <row r="509" spans="1:3">
      <c r="A509" t="str">
        <f>"600185"</f>
        <v>600185</v>
      </c>
      <c r="B509" t="str">
        <f>"格力地产"</f>
        <v>格力地产</v>
      </c>
      <c r="C509" t="str">
        <f t="shared" si="8"/>
        <v>上海A股</v>
      </c>
    </row>
    <row r="510" spans="1:3">
      <c r="A510" t="str">
        <f>"600186"</f>
        <v>600186</v>
      </c>
      <c r="B510" t="str">
        <f>"莲花味精"</f>
        <v>莲花味精</v>
      </c>
      <c r="C510" t="str">
        <f t="shared" si="8"/>
        <v>上海A股</v>
      </c>
    </row>
    <row r="511" spans="1:3">
      <c r="A511" t="str">
        <f>"600187"</f>
        <v>600187</v>
      </c>
      <c r="B511" t="str">
        <f>"国中水务"</f>
        <v>国中水务</v>
      </c>
      <c r="C511" t="str">
        <f t="shared" si="8"/>
        <v>上海A股</v>
      </c>
    </row>
    <row r="512" spans="1:3">
      <c r="A512" t="str">
        <f>"600188"</f>
        <v>600188</v>
      </c>
      <c r="B512" t="str">
        <f>"兖州煤业"</f>
        <v>兖州煤业</v>
      </c>
      <c r="C512" t="str">
        <f t="shared" si="8"/>
        <v>上海A股</v>
      </c>
    </row>
    <row r="513" spans="1:3">
      <c r="A513" t="str">
        <f>"600193"</f>
        <v>600193</v>
      </c>
      <c r="B513" t="str">
        <f>"创兴资源"</f>
        <v>创兴资源</v>
      </c>
      <c r="C513" t="str">
        <f t="shared" si="8"/>
        <v>上海A股</v>
      </c>
    </row>
    <row r="514" spans="1:3">
      <c r="A514" t="str">
        <f>"600196"</f>
        <v>600196</v>
      </c>
      <c r="B514" t="str">
        <f>"复星医药"</f>
        <v>复星医药</v>
      </c>
      <c r="C514" t="str">
        <f t="shared" si="8"/>
        <v>上海A股</v>
      </c>
    </row>
    <row r="515" spans="1:3">
      <c r="A515" t="str">
        <f>"600197"</f>
        <v>600197</v>
      </c>
      <c r="B515" t="str">
        <f>"伊力特"</f>
        <v>伊力特</v>
      </c>
      <c r="C515" t="str">
        <f t="shared" si="8"/>
        <v>上海A股</v>
      </c>
    </row>
    <row r="516" spans="1:3">
      <c r="A516" t="str">
        <f>"600198"</f>
        <v>600198</v>
      </c>
      <c r="B516" t="str">
        <f>"大唐电信"</f>
        <v>大唐电信</v>
      </c>
      <c r="C516" t="str">
        <f t="shared" si="8"/>
        <v>上海A股</v>
      </c>
    </row>
    <row r="517" spans="1:3">
      <c r="A517" t="str">
        <f>"600199"</f>
        <v>600199</v>
      </c>
      <c r="B517" t="str">
        <f>"金种子酒"</f>
        <v>金种子酒</v>
      </c>
      <c r="C517" t="str">
        <f t="shared" si="8"/>
        <v>上海A股</v>
      </c>
    </row>
    <row r="518" spans="1:3">
      <c r="A518" t="str">
        <f>"600200"</f>
        <v>600200</v>
      </c>
      <c r="B518" t="str">
        <f>"江苏吴中"</f>
        <v>江苏吴中</v>
      </c>
      <c r="C518" t="str">
        <f t="shared" si="8"/>
        <v>上海A股</v>
      </c>
    </row>
    <row r="519" spans="1:3">
      <c r="A519" t="str">
        <f>"600201"</f>
        <v>600201</v>
      </c>
      <c r="B519" t="str">
        <f>"金宇集团"</f>
        <v>金宇集团</v>
      </c>
      <c r="C519" t="str">
        <f t="shared" si="8"/>
        <v>上海A股</v>
      </c>
    </row>
    <row r="520" spans="1:3">
      <c r="A520" t="str">
        <f>"600206"</f>
        <v>600206</v>
      </c>
      <c r="B520" t="str">
        <f>"有研新材"</f>
        <v>有研新材</v>
      </c>
      <c r="C520" t="str">
        <f t="shared" si="8"/>
        <v>上海A股</v>
      </c>
    </row>
    <row r="521" spans="1:3">
      <c r="A521" t="str">
        <f>"600208"</f>
        <v>600208</v>
      </c>
      <c r="B521" t="str">
        <f>"新湖中宝"</f>
        <v>新湖中宝</v>
      </c>
      <c r="C521" t="str">
        <f t="shared" si="8"/>
        <v>上海A股</v>
      </c>
    </row>
    <row r="522" spans="1:3">
      <c r="A522" t="str">
        <f>"600209"</f>
        <v>600209</v>
      </c>
      <c r="B522" t="str">
        <f>"罗顿发展"</f>
        <v>罗顿发展</v>
      </c>
      <c r="C522" t="str">
        <f t="shared" si="8"/>
        <v>上海A股</v>
      </c>
    </row>
    <row r="523" spans="1:3">
      <c r="A523" t="str">
        <f>"600210"</f>
        <v>600210</v>
      </c>
      <c r="B523" t="str">
        <f>"紫江企业"</f>
        <v>紫江企业</v>
      </c>
      <c r="C523" t="str">
        <f t="shared" si="8"/>
        <v>上海A股</v>
      </c>
    </row>
    <row r="524" spans="1:3">
      <c r="A524" t="str">
        <f>"600216"</f>
        <v>600216</v>
      </c>
      <c r="B524" t="str">
        <f>"浙江医药"</f>
        <v>浙江医药</v>
      </c>
      <c r="C524" t="str">
        <f t="shared" si="8"/>
        <v>上海A股</v>
      </c>
    </row>
    <row r="525" spans="1:3">
      <c r="A525" t="str">
        <f>"600218"</f>
        <v>600218</v>
      </c>
      <c r="B525" t="str">
        <f>"全柴动力"</f>
        <v>全柴动力</v>
      </c>
      <c r="C525" t="str">
        <f t="shared" si="8"/>
        <v>上海A股</v>
      </c>
    </row>
    <row r="526" spans="1:3">
      <c r="A526" t="str">
        <f>"600219"</f>
        <v>600219</v>
      </c>
      <c r="B526" t="str">
        <f>"南山铝业"</f>
        <v>南山铝业</v>
      </c>
      <c r="C526" t="str">
        <f t="shared" si="8"/>
        <v>上海A股</v>
      </c>
    </row>
    <row r="527" spans="1:3">
      <c r="A527" t="str">
        <f>"600220"</f>
        <v>600220</v>
      </c>
      <c r="B527" t="str">
        <f>"江苏阳光"</f>
        <v>江苏阳光</v>
      </c>
      <c r="C527" t="str">
        <f t="shared" si="8"/>
        <v>上海A股</v>
      </c>
    </row>
    <row r="528" spans="1:3">
      <c r="A528" t="str">
        <f>"600221"</f>
        <v>600221</v>
      </c>
      <c r="B528" t="str">
        <f>"XD海南航"</f>
        <v>XD海南航</v>
      </c>
      <c r="C528" t="str">
        <f t="shared" si="8"/>
        <v>上海A股</v>
      </c>
    </row>
    <row r="529" spans="1:3">
      <c r="A529" t="str">
        <f>"600222"</f>
        <v>600222</v>
      </c>
      <c r="B529" t="str">
        <f>"太龙药业"</f>
        <v>太龙药业</v>
      </c>
      <c r="C529" t="str">
        <f t="shared" si="8"/>
        <v>上海A股</v>
      </c>
    </row>
    <row r="530" spans="1:3">
      <c r="A530" t="str">
        <f>"600223"</f>
        <v>600223</v>
      </c>
      <c r="B530" t="str">
        <f>"鲁商置业"</f>
        <v>鲁商置业</v>
      </c>
      <c r="C530" t="str">
        <f t="shared" si="8"/>
        <v>上海A股</v>
      </c>
    </row>
    <row r="531" spans="1:3">
      <c r="A531" t="str">
        <f>"600225"</f>
        <v>600225</v>
      </c>
      <c r="B531" t="str">
        <f>"天津松江"</f>
        <v>天津松江</v>
      </c>
      <c r="C531" t="str">
        <f t="shared" si="8"/>
        <v>上海A股</v>
      </c>
    </row>
    <row r="532" spans="1:3">
      <c r="A532" t="str">
        <f>"600229"</f>
        <v>600229</v>
      </c>
      <c r="B532" t="str">
        <f>"青岛碱业"</f>
        <v>青岛碱业</v>
      </c>
      <c r="C532" t="str">
        <f t="shared" si="8"/>
        <v>上海A股</v>
      </c>
    </row>
    <row r="533" spans="1:3">
      <c r="A533" t="str">
        <f>"600230"</f>
        <v>600230</v>
      </c>
      <c r="B533" t="str">
        <f>"沧州大化"</f>
        <v>沧州大化</v>
      </c>
      <c r="C533" t="str">
        <f t="shared" si="8"/>
        <v>上海A股</v>
      </c>
    </row>
    <row r="534" spans="1:3">
      <c r="A534" t="str">
        <f>"600237"</f>
        <v>600237</v>
      </c>
      <c r="B534" t="str">
        <f>"铜峰电子"</f>
        <v>铜峰电子</v>
      </c>
      <c r="C534" t="str">
        <f t="shared" si="8"/>
        <v>上海A股</v>
      </c>
    </row>
    <row r="535" spans="1:3">
      <c r="A535" t="str">
        <f>"600239"</f>
        <v>600239</v>
      </c>
      <c r="B535" t="str">
        <f>"云南城投"</f>
        <v>云南城投</v>
      </c>
      <c r="C535" t="str">
        <f t="shared" ref="C535:C598" si="9">"上海A股"</f>
        <v>上海A股</v>
      </c>
    </row>
    <row r="536" spans="1:3">
      <c r="A536" t="str">
        <f>"600240"</f>
        <v>600240</v>
      </c>
      <c r="B536" t="str">
        <f>"华业地产"</f>
        <v>华业地产</v>
      </c>
      <c r="C536" t="str">
        <f t="shared" si="9"/>
        <v>上海A股</v>
      </c>
    </row>
    <row r="537" spans="1:3">
      <c r="A537" t="str">
        <f>"600251"</f>
        <v>600251</v>
      </c>
      <c r="B537" t="str">
        <f>"冠农股份"</f>
        <v>冠农股份</v>
      </c>
      <c r="C537" t="str">
        <f t="shared" si="9"/>
        <v>上海A股</v>
      </c>
    </row>
    <row r="538" spans="1:3">
      <c r="A538" t="str">
        <f>"600252"</f>
        <v>600252</v>
      </c>
      <c r="B538" t="str">
        <f>"中恒集团"</f>
        <v>中恒集团</v>
      </c>
      <c r="C538" t="str">
        <f t="shared" si="9"/>
        <v>上海A股</v>
      </c>
    </row>
    <row r="539" spans="1:3">
      <c r="A539" t="str">
        <f>"600256"</f>
        <v>600256</v>
      </c>
      <c r="B539" t="str">
        <f>"广汇能源"</f>
        <v>广汇能源</v>
      </c>
      <c r="C539" t="str">
        <f t="shared" si="9"/>
        <v>上海A股</v>
      </c>
    </row>
    <row r="540" spans="1:3">
      <c r="A540" t="str">
        <f>"600257"</f>
        <v>600257</v>
      </c>
      <c r="B540" t="str">
        <f>"大湖股份"</f>
        <v>大湖股份</v>
      </c>
      <c r="C540" t="str">
        <f t="shared" si="9"/>
        <v>上海A股</v>
      </c>
    </row>
    <row r="541" spans="1:3">
      <c r="A541" t="str">
        <f>"600259"</f>
        <v>600259</v>
      </c>
      <c r="B541" t="str">
        <f>"广晟有色"</f>
        <v>广晟有色</v>
      </c>
      <c r="C541" t="str">
        <f t="shared" si="9"/>
        <v>上海A股</v>
      </c>
    </row>
    <row r="542" spans="1:3">
      <c r="A542" t="str">
        <f>"600260"</f>
        <v>600260</v>
      </c>
      <c r="B542" t="str">
        <f>"凯乐科技"</f>
        <v>凯乐科技</v>
      </c>
      <c r="C542" t="str">
        <f t="shared" si="9"/>
        <v>上海A股</v>
      </c>
    </row>
    <row r="543" spans="1:3">
      <c r="A543" t="str">
        <f>"600261"</f>
        <v>600261</v>
      </c>
      <c r="B543" t="str">
        <f>"阳光照明"</f>
        <v>阳光照明</v>
      </c>
      <c r="C543" t="str">
        <f t="shared" si="9"/>
        <v>上海A股</v>
      </c>
    </row>
    <row r="544" spans="1:3">
      <c r="A544" t="str">
        <f>"600266"</f>
        <v>600266</v>
      </c>
      <c r="B544" t="str">
        <f>"北京城建"</f>
        <v>北京城建</v>
      </c>
      <c r="C544" t="str">
        <f t="shared" si="9"/>
        <v>上海A股</v>
      </c>
    </row>
    <row r="545" spans="1:3">
      <c r="A545" t="str">
        <f>"600267"</f>
        <v>600267</v>
      </c>
      <c r="B545" t="str">
        <f>"海正药业"</f>
        <v>海正药业</v>
      </c>
      <c r="C545" t="str">
        <f t="shared" si="9"/>
        <v>上海A股</v>
      </c>
    </row>
    <row r="546" spans="1:3">
      <c r="A546" t="str">
        <f>"600270"</f>
        <v>600270</v>
      </c>
      <c r="B546" t="str">
        <f>"外运发展"</f>
        <v>外运发展</v>
      </c>
      <c r="C546" t="str">
        <f t="shared" si="9"/>
        <v>上海A股</v>
      </c>
    </row>
    <row r="547" spans="1:3">
      <c r="A547" t="str">
        <f>"600271"</f>
        <v>600271</v>
      </c>
      <c r="B547" t="str">
        <f>"航天信息"</f>
        <v>航天信息</v>
      </c>
      <c r="C547" t="str">
        <f t="shared" si="9"/>
        <v>上海A股</v>
      </c>
    </row>
    <row r="548" spans="1:3">
      <c r="A548" t="str">
        <f>"600276"</f>
        <v>600276</v>
      </c>
      <c r="B548" t="str">
        <f>"恒瑞医药"</f>
        <v>恒瑞医药</v>
      </c>
      <c r="C548" t="str">
        <f t="shared" si="9"/>
        <v>上海A股</v>
      </c>
    </row>
    <row r="549" spans="1:3">
      <c r="A549" t="str">
        <f>"600277"</f>
        <v>600277</v>
      </c>
      <c r="B549" t="str">
        <f>"亿利能源"</f>
        <v>亿利能源</v>
      </c>
      <c r="C549" t="str">
        <f t="shared" si="9"/>
        <v>上海A股</v>
      </c>
    </row>
    <row r="550" spans="1:3">
      <c r="A550" t="str">
        <f>"600285"</f>
        <v>600285</v>
      </c>
      <c r="B550" t="str">
        <f>"羚锐制药"</f>
        <v>羚锐制药</v>
      </c>
      <c r="C550" t="str">
        <f t="shared" si="9"/>
        <v>上海A股</v>
      </c>
    </row>
    <row r="551" spans="1:3">
      <c r="A551" t="str">
        <f>"600288"</f>
        <v>600288</v>
      </c>
      <c r="B551" t="str">
        <f>"大恒科技"</f>
        <v>大恒科技</v>
      </c>
      <c r="C551" t="str">
        <f t="shared" si="9"/>
        <v>上海A股</v>
      </c>
    </row>
    <row r="552" spans="1:3">
      <c r="A552" t="str">
        <f>"600289"</f>
        <v>600289</v>
      </c>
      <c r="B552" t="str">
        <f>"亿阳信通"</f>
        <v>亿阳信通</v>
      </c>
      <c r="C552" t="str">
        <f t="shared" si="9"/>
        <v>上海A股</v>
      </c>
    </row>
    <row r="553" spans="1:3">
      <c r="A553" t="str">
        <f>"600292"</f>
        <v>600292</v>
      </c>
      <c r="B553" t="str">
        <f>"中电远达"</f>
        <v>中电远达</v>
      </c>
      <c r="C553" t="str">
        <f t="shared" si="9"/>
        <v>上海A股</v>
      </c>
    </row>
    <row r="554" spans="1:3">
      <c r="A554" t="str">
        <f>"600293"</f>
        <v>600293</v>
      </c>
      <c r="B554" t="str">
        <f>"三峡新材"</f>
        <v>三峡新材</v>
      </c>
      <c r="C554" t="str">
        <f t="shared" si="9"/>
        <v>上海A股</v>
      </c>
    </row>
    <row r="555" spans="1:3">
      <c r="A555" t="str">
        <f>"600298"</f>
        <v>600298</v>
      </c>
      <c r="B555" t="str">
        <f>"安琪酵母"</f>
        <v>安琪酵母</v>
      </c>
      <c r="C555" t="str">
        <f t="shared" si="9"/>
        <v>上海A股</v>
      </c>
    </row>
    <row r="556" spans="1:3">
      <c r="A556" t="str">
        <f>"600300"</f>
        <v>600300</v>
      </c>
      <c r="B556" t="str">
        <f>"维维股份"</f>
        <v>维维股份</v>
      </c>
      <c r="C556" t="str">
        <f t="shared" si="9"/>
        <v>上海A股</v>
      </c>
    </row>
    <row r="557" spans="1:3">
      <c r="A557" t="str">
        <f>"600307"</f>
        <v>600307</v>
      </c>
      <c r="B557" t="str">
        <f>"酒钢宏兴"</f>
        <v>酒钢宏兴</v>
      </c>
      <c r="C557" t="str">
        <f t="shared" si="9"/>
        <v>上海A股</v>
      </c>
    </row>
    <row r="558" spans="1:3">
      <c r="A558" t="str">
        <f>"600309"</f>
        <v>600309</v>
      </c>
      <c r="B558" t="str">
        <f>"万华化学"</f>
        <v>万华化学</v>
      </c>
      <c r="C558" t="str">
        <f t="shared" si="9"/>
        <v>上海A股</v>
      </c>
    </row>
    <row r="559" spans="1:3">
      <c r="A559" t="str">
        <f>"600311"</f>
        <v>600311</v>
      </c>
      <c r="B559" t="str">
        <f>"荣华实业"</f>
        <v>荣华实业</v>
      </c>
      <c r="C559" t="str">
        <f t="shared" si="9"/>
        <v>上海A股</v>
      </c>
    </row>
    <row r="560" spans="1:3">
      <c r="A560" t="str">
        <f>"600312"</f>
        <v>600312</v>
      </c>
      <c r="B560" t="str">
        <f>"平高电气"</f>
        <v>平高电气</v>
      </c>
      <c r="C560" t="str">
        <f t="shared" si="9"/>
        <v>上海A股</v>
      </c>
    </row>
    <row r="561" spans="1:3">
      <c r="A561" t="str">
        <f>"600315"</f>
        <v>600315</v>
      </c>
      <c r="B561" t="str">
        <f>"上海家化"</f>
        <v>上海家化</v>
      </c>
      <c r="C561" t="str">
        <f t="shared" si="9"/>
        <v>上海A股</v>
      </c>
    </row>
    <row r="562" spans="1:3">
      <c r="A562" t="str">
        <f>"600316"</f>
        <v>600316</v>
      </c>
      <c r="B562" t="str">
        <f>"洪都航空"</f>
        <v>洪都航空</v>
      </c>
      <c r="C562" t="str">
        <f t="shared" si="9"/>
        <v>上海A股</v>
      </c>
    </row>
    <row r="563" spans="1:3">
      <c r="A563" t="str">
        <f>"600318"</f>
        <v>600318</v>
      </c>
      <c r="B563" t="str">
        <f>"巢东股份"</f>
        <v>巢东股份</v>
      </c>
      <c r="C563" t="str">
        <f t="shared" si="9"/>
        <v>上海A股</v>
      </c>
    </row>
    <row r="564" spans="1:3">
      <c r="A564" t="str">
        <f>"600320"</f>
        <v>600320</v>
      </c>
      <c r="B564" t="str">
        <f>"振华重工"</f>
        <v>振华重工</v>
      </c>
      <c r="C564" t="str">
        <f t="shared" si="9"/>
        <v>上海A股</v>
      </c>
    </row>
    <row r="565" spans="1:3">
      <c r="A565" t="str">
        <f>"600321"</f>
        <v>600321</v>
      </c>
      <c r="B565" t="str">
        <f>"国栋建设"</f>
        <v>国栋建设</v>
      </c>
      <c r="C565" t="str">
        <f t="shared" si="9"/>
        <v>上海A股</v>
      </c>
    </row>
    <row r="566" spans="1:3">
      <c r="A566" t="str">
        <f>"600323"</f>
        <v>600323</v>
      </c>
      <c r="B566" t="str">
        <f>"瀚蓝环境"</f>
        <v>瀚蓝环境</v>
      </c>
      <c r="C566" t="str">
        <f t="shared" si="9"/>
        <v>上海A股</v>
      </c>
    </row>
    <row r="567" spans="1:3">
      <c r="A567" t="str">
        <f>"600325"</f>
        <v>600325</v>
      </c>
      <c r="B567" t="str">
        <f>"华发股份"</f>
        <v>华发股份</v>
      </c>
      <c r="C567" t="str">
        <f t="shared" si="9"/>
        <v>上海A股</v>
      </c>
    </row>
    <row r="568" spans="1:3">
      <c r="A568" t="str">
        <f>"600329"</f>
        <v>600329</v>
      </c>
      <c r="B568" t="str">
        <f>"中新药业"</f>
        <v>中新药业</v>
      </c>
      <c r="C568" t="str">
        <f t="shared" si="9"/>
        <v>上海A股</v>
      </c>
    </row>
    <row r="569" spans="1:3">
      <c r="A569" t="str">
        <f>"600330"</f>
        <v>600330</v>
      </c>
      <c r="B569" t="str">
        <f>"天通股份"</f>
        <v>天通股份</v>
      </c>
      <c r="C569" t="str">
        <f t="shared" si="9"/>
        <v>上海A股</v>
      </c>
    </row>
    <row r="570" spans="1:3">
      <c r="A570" t="str">
        <f>"600331"</f>
        <v>600331</v>
      </c>
      <c r="B570" t="str">
        <f>"宏达股份"</f>
        <v>宏达股份</v>
      </c>
      <c r="C570" t="str">
        <f t="shared" si="9"/>
        <v>上海A股</v>
      </c>
    </row>
    <row r="571" spans="1:3">
      <c r="A571" t="str">
        <f>"600332"</f>
        <v>600332</v>
      </c>
      <c r="B571" t="str">
        <f>"白云山"</f>
        <v>白云山</v>
      </c>
      <c r="C571" t="str">
        <f t="shared" si="9"/>
        <v>上海A股</v>
      </c>
    </row>
    <row r="572" spans="1:3">
      <c r="A572" t="str">
        <f>"600333"</f>
        <v>600333</v>
      </c>
      <c r="B572" t="str">
        <f>"长春燃气"</f>
        <v>长春燃气</v>
      </c>
      <c r="C572" t="str">
        <f t="shared" si="9"/>
        <v>上海A股</v>
      </c>
    </row>
    <row r="573" spans="1:3">
      <c r="A573" t="str">
        <f>"600335"</f>
        <v>600335</v>
      </c>
      <c r="B573" t="str">
        <f>"国机汽车"</f>
        <v>国机汽车</v>
      </c>
      <c r="C573" t="str">
        <f t="shared" si="9"/>
        <v>上海A股</v>
      </c>
    </row>
    <row r="574" spans="1:3">
      <c r="A574" t="str">
        <f>"600336"</f>
        <v>600336</v>
      </c>
      <c r="B574" t="str">
        <f>"澳柯玛"</f>
        <v>澳柯玛</v>
      </c>
      <c r="C574" t="str">
        <f t="shared" si="9"/>
        <v>上海A股</v>
      </c>
    </row>
    <row r="575" spans="1:3">
      <c r="A575" t="str">
        <f>"600340"</f>
        <v>600340</v>
      </c>
      <c r="B575" t="str">
        <f>"华夏幸福"</f>
        <v>华夏幸福</v>
      </c>
      <c r="C575" t="str">
        <f t="shared" si="9"/>
        <v>上海A股</v>
      </c>
    </row>
    <row r="576" spans="1:3">
      <c r="A576" t="str">
        <f>"600343"</f>
        <v>600343</v>
      </c>
      <c r="B576" t="str">
        <f>"航天动力"</f>
        <v>航天动力</v>
      </c>
      <c r="C576" t="str">
        <f t="shared" si="9"/>
        <v>上海A股</v>
      </c>
    </row>
    <row r="577" spans="1:3">
      <c r="A577" t="str">
        <f>"600348"</f>
        <v>600348</v>
      </c>
      <c r="B577" t="str">
        <f>"阳泉煤业"</f>
        <v>阳泉煤业</v>
      </c>
      <c r="C577" t="str">
        <f t="shared" si="9"/>
        <v>上海A股</v>
      </c>
    </row>
    <row r="578" spans="1:3">
      <c r="A578" t="str">
        <f>"600350"</f>
        <v>600350</v>
      </c>
      <c r="B578" t="str">
        <f>"山东高速"</f>
        <v>山东高速</v>
      </c>
      <c r="C578" t="str">
        <f t="shared" si="9"/>
        <v>上海A股</v>
      </c>
    </row>
    <row r="579" spans="1:3">
      <c r="A579" t="str">
        <f>"600352"</f>
        <v>600352</v>
      </c>
      <c r="B579" t="str">
        <f>"浙江龙盛"</f>
        <v>浙江龙盛</v>
      </c>
      <c r="C579" t="str">
        <f t="shared" si="9"/>
        <v>上海A股</v>
      </c>
    </row>
    <row r="580" spans="1:3">
      <c r="A580" t="str">
        <f>"600354"</f>
        <v>600354</v>
      </c>
      <c r="B580" t="str">
        <f>"敦煌种业"</f>
        <v>敦煌种业</v>
      </c>
      <c r="C580" t="str">
        <f t="shared" si="9"/>
        <v>上海A股</v>
      </c>
    </row>
    <row r="581" spans="1:3">
      <c r="A581" t="str">
        <f>"600362"</f>
        <v>600362</v>
      </c>
      <c r="B581" t="str">
        <f>"江西铜业"</f>
        <v>江西铜业</v>
      </c>
      <c r="C581" t="str">
        <f t="shared" si="9"/>
        <v>上海A股</v>
      </c>
    </row>
    <row r="582" spans="1:3">
      <c r="A582" t="str">
        <f>"600363"</f>
        <v>600363</v>
      </c>
      <c r="B582" t="str">
        <f>"联创光电"</f>
        <v>联创光电</v>
      </c>
      <c r="C582" t="str">
        <f t="shared" si="9"/>
        <v>上海A股</v>
      </c>
    </row>
    <row r="583" spans="1:3">
      <c r="A583" t="str">
        <f>"600366"</f>
        <v>600366</v>
      </c>
      <c r="B583" t="str">
        <f>"宁波韵升"</f>
        <v>宁波韵升</v>
      </c>
      <c r="C583" t="str">
        <f t="shared" si="9"/>
        <v>上海A股</v>
      </c>
    </row>
    <row r="584" spans="1:3">
      <c r="A584" t="str">
        <f>"600369"</f>
        <v>600369</v>
      </c>
      <c r="B584" t="str">
        <f>"西南证券"</f>
        <v>西南证券</v>
      </c>
      <c r="C584" t="str">
        <f t="shared" si="9"/>
        <v>上海A股</v>
      </c>
    </row>
    <row r="585" spans="1:3">
      <c r="A585" t="str">
        <f>"600372"</f>
        <v>600372</v>
      </c>
      <c r="B585" t="str">
        <f>"中航电子"</f>
        <v>中航电子</v>
      </c>
      <c r="C585" t="str">
        <f t="shared" si="9"/>
        <v>上海A股</v>
      </c>
    </row>
    <row r="586" spans="1:3">
      <c r="A586" t="str">
        <f>"600373"</f>
        <v>600373</v>
      </c>
      <c r="B586" t="str">
        <f>"中文传媒"</f>
        <v>中文传媒</v>
      </c>
      <c r="C586" t="str">
        <f t="shared" si="9"/>
        <v>上海A股</v>
      </c>
    </row>
    <row r="587" spans="1:3">
      <c r="A587" t="str">
        <f>"600375"</f>
        <v>600375</v>
      </c>
      <c r="B587" t="str">
        <f>"华菱星马"</f>
        <v>华菱星马</v>
      </c>
      <c r="C587" t="str">
        <f t="shared" si="9"/>
        <v>上海A股</v>
      </c>
    </row>
    <row r="588" spans="1:3">
      <c r="A588" t="str">
        <f>"600376"</f>
        <v>600376</v>
      </c>
      <c r="B588" t="str">
        <f>"首开股份"</f>
        <v>首开股份</v>
      </c>
      <c r="C588" t="str">
        <f t="shared" si="9"/>
        <v>上海A股</v>
      </c>
    </row>
    <row r="589" spans="1:3">
      <c r="A589" t="str">
        <f>"600377"</f>
        <v>600377</v>
      </c>
      <c r="B589" t="str">
        <f>"宁沪高速"</f>
        <v>宁沪高速</v>
      </c>
      <c r="C589" t="str">
        <f t="shared" si="9"/>
        <v>上海A股</v>
      </c>
    </row>
    <row r="590" spans="1:3">
      <c r="A590" t="str">
        <f>"600380"</f>
        <v>600380</v>
      </c>
      <c r="B590" t="str">
        <f>"健康元"</f>
        <v>健康元</v>
      </c>
      <c r="C590" t="str">
        <f t="shared" si="9"/>
        <v>上海A股</v>
      </c>
    </row>
    <row r="591" spans="1:3">
      <c r="A591" t="str">
        <f>"600382"</f>
        <v>600382</v>
      </c>
      <c r="B591" t="str">
        <f>"广东明珠"</f>
        <v>广东明珠</v>
      </c>
      <c r="C591" t="str">
        <f t="shared" si="9"/>
        <v>上海A股</v>
      </c>
    </row>
    <row r="592" spans="1:3">
      <c r="A592" t="str">
        <f>"600383"</f>
        <v>600383</v>
      </c>
      <c r="B592" t="str">
        <f>"金地集团"</f>
        <v>金地集团</v>
      </c>
      <c r="C592" t="str">
        <f t="shared" si="9"/>
        <v>上海A股</v>
      </c>
    </row>
    <row r="593" spans="1:3">
      <c r="A593" t="str">
        <f>"600386"</f>
        <v>600386</v>
      </c>
      <c r="B593" t="str">
        <f>"北巴传媒"</f>
        <v>北巴传媒</v>
      </c>
      <c r="C593" t="str">
        <f t="shared" si="9"/>
        <v>上海A股</v>
      </c>
    </row>
    <row r="594" spans="1:3">
      <c r="A594" t="str">
        <f>"600387"</f>
        <v>600387</v>
      </c>
      <c r="B594" t="str">
        <f>"海越股份"</f>
        <v>海越股份</v>
      </c>
      <c r="C594" t="str">
        <f t="shared" si="9"/>
        <v>上海A股</v>
      </c>
    </row>
    <row r="595" spans="1:3">
      <c r="A595" t="str">
        <f>"600388"</f>
        <v>600388</v>
      </c>
      <c r="B595" t="str">
        <f>"龙净环保"</f>
        <v>龙净环保</v>
      </c>
      <c r="C595" t="str">
        <f t="shared" si="9"/>
        <v>上海A股</v>
      </c>
    </row>
    <row r="596" spans="1:3">
      <c r="A596" t="str">
        <f>"600389"</f>
        <v>600389</v>
      </c>
      <c r="B596" t="str">
        <f>"江山股份"</f>
        <v>江山股份</v>
      </c>
      <c r="C596" t="str">
        <f t="shared" si="9"/>
        <v>上海A股</v>
      </c>
    </row>
    <row r="597" spans="1:3">
      <c r="A597" t="str">
        <f>"600390"</f>
        <v>600390</v>
      </c>
      <c r="B597" t="str">
        <f>"金瑞科技"</f>
        <v>金瑞科技</v>
      </c>
      <c r="C597" t="str">
        <f t="shared" si="9"/>
        <v>上海A股</v>
      </c>
    </row>
    <row r="598" spans="1:3">
      <c r="A598" t="str">
        <f>"600391"</f>
        <v>600391</v>
      </c>
      <c r="B598" t="str">
        <f>"成发科技"</f>
        <v>成发科技</v>
      </c>
      <c r="C598" t="str">
        <f t="shared" si="9"/>
        <v>上海A股</v>
      </c>
    </row>
    <row r="599" spans="1:3">
      <c r="A599" t="str">
        <f>"600392"</f>
        <v>600392</v>
      </c>
      <c r="B599" t="str">
        <f>"盛和资源"</f>
        <v>盛和资源</v>
      </c>
      <c r="C599" t="str">
        <f t="shared" ref="C599:C662" si="10">"上海A股"</f>
        <v>上海A股</v>
      </c>
    </row>
    <row r="600" spans="1:3">
      <c r="A600" t="str">
        <f>"600395"</f>
        <v>600395</v>
      </c>
      <c r="B600" t="str">
        <f>"盘江股份"</f>
        <v>盘江股份</v>
      </c>
      <c r="C600" t="str">
        <f t="shared" si="10"/>
        <v>上海A股</v>
      </c>
    </row>
    <row r="601" spans="1:3">
      <c r="A601" t="str">
        <f>"600406"</f>
        <v>600406</v>
      </c>
      <c r="B601" t="str">
        <f>"国电南瑞"</f>
        <v>国电南瑞</v>
      </c>
      <c r="C601" t="str">
        <f t="shared" si="10"/>
        <v>上海A股</v>
      </c>
    </row>
    <row r="602" spans="1:3">
      <c r="A602" t="str">
        <f>"600409"</f>
        <v>600409</v>
      </c>
      <c r="B602" t="str">
        <f>"三友化工"</f>
        <v>三友化工</v>
      </c>
      <c r="C602" t="str">
        <f t="shared" si="10"/>
        <v>上海A股</v>
      </c>
    </row>
    <row r="603" spans="1:3">
      <c r="A603" t="str">
        <f>"600410"</f>
        <v>600410</v>
      </c>
      <c r="B603" t="str">
        <f>"华胜天成"</f>
        <v>华胜天成</v>
      </c>
      <c r="C603" t="str">
        <f t="shared" si="10"/>
        <v>上海A股</v>
      </c>
    </row>
    <row r="604" spans="1:3">
      <c r="A604" t="str">
        <f>"600415"</f>
        <v>600415</v>
      </c>
      <c r="B604" t="str">
        <f>"小商品城"</f>
        <v>小商品城</v>
      </c>
      <c r="C604" t="str">
        <f t="shared" si="10"/>
        <v>上海A股</v>
      </c>
    </row>
    <row r="605" spans="1:3">
      <c r="A605" t="str">
        <f>"600416"</f>
        <v>600416</v>
      </c>
      <c r="B605" t="str">
        <f>"湘电股份"</f>
        <v>湘电股份</v>
      </c>
      <c r="C605" t="str">
        <f t="shared" si="10"/>
        <v>上海A股</v>
      </c>
    </row>
    <row r="606" spans="1:3">
      <c r="A606" t="str">
        <f>"600418"</f>
        <v>600418</v>
      </c>
      <c r="B606" t="str">
        <f>"江淮汽车"</f>
        <v>江淮汽车</v>
      </c>
      <c r="C606" t="str">
        <f t="shared" si="10"/>
        <v>上海A股</v>
      </c>
    </row>
    <row r="607" spans="1:3">
      <c r="A607" t="str">
        <f>"600422"</f>
        <v>600422</v>
      </c>
      <c r="B607" t="str">
        <f>"昆药集团"</f>
        <v>昆药集团</v>
      </c>
      <c r="C607" t="str">
        <f t="shared" si="10"/>
        <v>上海A股</v>
      </c>
    </row>
    <row r="608" spans="1:3">
      <c r="A608" t="str">
        <f>"600425"</f>
        <v>600425</v>
      </c>
      <c r="B608" t="str">
        <f>"青松建化"</f>
        <v>青松建化</v>
      </c>
      <c r="C608" t="str">
        <f t="shared" si="10"/>
        <v>上海A股</v>
      </c>
    </row>
    <row r="609" spans="1:3">
      <c r="A609" t="str">
        <f>"600426"</f>
        <v>600426</v>
      </c>
      <c r="B609" t="str">
        <f>"华鲁恒升"</f>
        <v>华鲁恒升</v>
      </c>
      <c r="C609" t="str">
        <f t="shared" si="10"/>
        <v>上海A股</v>
      </c>
    </row>
    <row r="610" spans="1:3">
      <c r="A610" t="str">
        <f>"600432"</f>
        <v>600432</v>
      </c>
      <c r="B610" t="str">
        <f>"吉恩镍业"</f>
        <v>吉恩镍业</v>
      </c>
      <c r="C610" t="str">
        <f t="shared" si="10"/>
        <v>上海A股</v>
      </c>
    </row>
    <row r="611" spans="1:3">
      <c r="A611" t="str">
        <f>"600433"</f>
        <v>600433</v>
      </c>
      <c r="B611" t="str">
        <f>"冠豪高新"</f>
        <v>冠豪高新</v>
      </c>
      <c r="C611" t="str">
        <f t="shared" si="10"/>
        <v>上海A股</v>
      </c>
    </row>
    <row r="612" spans="1:3">
      <c r="A612" t="str">
        <f>"600435"</f>
        <v>600435</v>
      </c>
      <c r="B612" t="str">
        <f>"北方导航"</f>
        <v>北方导航</v>
      </c>
      <c r="C612" t="str">
        <f t="shared" si="10"/>
        <v>上海A股</v>
      </c>
    </row>
    <row r="613" spans="1:3">
      <c r="A613" t="str">
        <f>"600436"</f>
        <v>600436</v>
      </c>
      <c r="B613" t="str">
        <f>"片仔癀"</f>
        <v>片仔癀</v>
      </c>
      <c r="C613" t="str">
        <f t="shared" si="10"/>
        <v>上海A股</v>
      </c>
    </row>
    <row r="614" spans="1:3">
      <c r="A614" t="str">
        <f>"600446"</f>
        <v>600446</v>
      </c>
      <c r="B614" t="str">
        <f>"金证股份"</f>
        <v>金证股份</v>
      </c>
      <c r="C614" t="str">
        <f t="shared" si="10"/>
        <v>上海A股</v>
      </c>
    </row>
    <row r="615" spans="1:3">
      <c r="A615" t="str">
        <f>"600449"</f>
        <v>600449</v>
      </c>
      <c r="B615" t="str">
        <f>"宁夏建材"</f>
        <v>宁夏建材</v>
      </c>
      <c r="C615" t="str">
        <f t="shared" si="10"/>
        <v>上海A股</v>
      </c>
    </row>
    <row r="616" spans="1:3">
      <c r="A616" t="str">
        <f>"600456"</f>
        <v>600456</v>
      </c>
      <c r="B616" t="str">
        <f>"宝钛股份"</f>
        <v>宝钛股份</v>
      </c>
      <c r="C616" t="str">
        <f t="shared" si="10"/>
        <v>上海A股</v>
      </c>
    </row>
    <row r="617" spans="1:3">
      <c r="A617" t="str">
        <f>"600458"</f>
        <v>600458</v>
      </c>
      <c r="B617" t="str">
        <f>"时代新材"</f>
        <v>时代新材</v>
      </c>
      <c r="C617" t="str">
        <f t="shared" si="10"/>
        <v>上海A股</v>
      </c>
    </row>
    <row r="618" spans="1:3">
      <c r="A618" t="str">
        <f>"600459"</f>
        <v>600459</v>
      </c>
      <c r="B618" t="str">
        <f>"贵研铂业"</f>
        <v>贵研铂业</v>
      </c>
      <c r="C618" t="str">
        <f t="shared" si="10"/>
        <v>上海A股</v>
      </c>
    </row>
    <row r="619" spans="1:3">
      <c r="A619" t="str">
        <f>"600460"</f>
        <v>600460</v>
      </c>
      <c r="B619" t="str">
        <f>"士兰微"</f>
        <v>士兰微</v>
      </c>
      <c r="C619" t="str">
        <f t="shared" si="10"/>
        <v>上海A股</v>
      </c>
    </row>
    <row r="620" spans="1:3">
      <c r="A620" t="str">
        <f>"600467"</f>
        <v>600467</v>
      </c>
      <c r="B620" t="str">
        <f>"好当家"</f>
        <v>好当家</v>
      </c>
      <c r="C620" t="str">
        <f t="shared" si="10"/>
        <v>上海A股</v>
      </c>
    </row>
    <row r="621" spans="1:3">
      <c r="A621" t="str">
        <f>"600470"</f>
        <v>600470</v>
      </c>
      <c r="B621" t="str">
        <f>"六国化工"</f>
        <v>六国化工</v>
      </c>
      <c r="C621" t="str">
        <f t="shared" si="10"/>
        <v>上海A股</v>
      </c>
    </row>
    <row r="622" spans="1:3">
      <c r="A622" t="str">
        <f>"600478"</f>
        <v>600478</v>
      </c>
      <c r="B622" t="str">
        <f>"科力远"</f>
        <v>科力远</v>
      </c>
      <c r="C622" t="str">
        <f t="shared" si="10"/>
        <v>上海A股</v>
      </c>
    </row>
    <row r="623" spans="1:3">
      <c r="A623" t="str">
        <f>"600481"</f>
        <v>600481</v>
      </c>
      <c r="B623" t="str">
        <f>"双良节能"</f>
        <v>双良节能</v>
      </c>
      <c r="C623" t="str">
        <f t="shared" si="10"/>
        <v>上海A股</v>
      </c>
    </row>
    <row r="624" spans="1:3">
      <c r="A624" t="str">
        <f>"600482"</f>
        <v>600482</v>
      </c>
      <c r="B624" t="str">
        <f>"风帆股份"</f>
        <v>风帆股份</v>
      </c>
      <c r="C624" t="str">
        <f t="shared" si="10"/>
        <v>上海A股</v>
      </c>
    </row>
    <row r="625" spans="1:3">
      <c r="A625" t="str">
        <f>"600483"</f>
        <v>600483</v>
      </c>
      <c r="B625" t="str">
        <f>"福能股份"</f>
        <v>福能股份</v>
      </c>
      <c r="C625" t="str">
        <f t="shared" si="10"/>
        <v>上海A股</v>
      </c>
    </row>
    <row r="626" spans="1:3">
      <c r="A626" t="str">
        <f>"600486"</f>
        <v>600486</v>
      </c>
      <c r="B626" t="str">
        <f>"扬农化工"</f>
        <v>扬农化工</v>
      </c>
      <c r="C626" t="str">
        <f t="shared" si="10"/>
        <v>上海A股</v>
      </c>
    </row>
    <row r="627" spans="1:3">
      <c r="A627" t="str">
        <f>"600489"</f>
        <v>600489</v>
      </c>
      <c r="B627" t="str">
        <f>"中金黄金"</f>
        <v>中金黄金</v>
      </c>
      <c r="C627" t="str">
        <f t="shared" si="10"/>
        <v>上海A股</v>
      </c>
    </row>
    <row r="628" spans="1:3">
      <c r="A628" t="str">
        <f>"600490"</f>
        <v>600490</v>
      </c>
      <c r="B628" t="str">
        <f>"鹏欣资源"</f>
        <v>鹏欣资源</v>
      </c>
      <c r="C628" t="str">
        <f t="shared" si="10"/>
        <v>上海A股</v>
      </c>
    </row>
    <row r="629" spans="1:3">
      <c r="A629" t="str">
        <f>"600491"</f>
        <v>600491</v>
      </c>
      <c r="B629" t="str">
        <f>"龙元建设"</f>
        <v>龙元建设</v>
      </c>
      <c r="C629" t="str">
        <f t="shared" si="10"/>
        <v>上海A股</v>
      </c>
    </row>
    <row r="630" spans="1:3">
      <c r="A630" t="str">
        <f>"600495"</f>
        <v>600495</v>
      </c>
      <c r="B630" t="str">
        <f>"晋西车轴"</f>
        <v>晋西车轴</v>
      </c>
      <c r="C630" t="str">
        <f t="shared" si="10"/>
        <v>上海A股</v>
      </c>
    </row>
    <row r="631" spans="1:3">
      <c r="A631" t="str">
        <f>"600497"</f>
        <v>600497</v>
      </c>
      <c r="B631" t="str">
        <f>"驰宏锌锗"</f>
        <v>驰宏锌锗</v>
      </c>
      <c r="C631" t="str">
        <f t="shared" si="10"/>
        <v>上海A股</v>
      </c>
    </row>
    <row r="632" spans="1:3">
      <c r="A632" t="str">
        <f>"600498"</f>
        <v>600498</v>
      </c>
      <c r="B632" t="str">
        <f>"烽火通信"</f>
        <v>烽火通信</v>
      </c>
      <c r="C632" t="str">
        <f t="shared" si="10"/>
        <v>上海A股</v>
      </c>
    </row>
    <row r="633" spans="1:3">
      <c r="A633" t="str">
        <f>"600499"</f>
        <v>600499</v>
      </c>
      <c r="B633" t="str">
        <f>"科达洁能"</f>
        <v>科达洁能</v>
      </c>
      <c r="C633" t="str">
        <f t="shared" si="10"/>
        <v>上海A股</v>
      </c>
    </row>
    <row r="634" spans="1:3">
      <c r="A634" t="str">
        <f>"600500"</f>
        <v>600500</v>
      </c>
      <c r="B634" t="str">
        <f>"中化国际"</f>
        <v>中化国际</v>
      </c>
      <c r="C634" t="str">
        <f t="shared" si="10"/>
        <v>上海A股</v>
      </c>
    </row>
    <row r="635" spans="1:3">
      <c r="A635" t="str">
        <f>"600502"</f>
        <v>600502</v>
      </c>
      <c r="B635" t="str">
        <f>"安徽水利"</f>
        <v>安徽水利</v>
      </c>
      <c r="C635" t="str">
        <f t="shared" si="10"/>
        <v>上海A股</v>
      </c>
    </row>
    <row r="636" spans="1:3">
      <c r="A636" t="str">
        <f>"600503"</f>
        <v>600503</v>
      </c>
      <c r="B636" t="str">
        <f>"华丽家族"</f>
        <v>华丽家族</v>
      </c>
      <c r="C636" t="str">
        <f t="shared" si="10"/>
        <v>上海A股</v>
      </c>
    </row>
    <row r="637" spans="1:3">
      <c r="A637" t="str">
        <f>"600509"</f>
        <v>600509</v>
      </c>
      <c r="B637" t="str">
        <f>"天富能源"</f>
        <v>天富能源</v>
      </c>
      <c r="C637" t="str">
        <f t="shared" si="10"/>
        <v>上海A股</v>
      </c>
    </row>
    <row r="638" spans="1:3">
      <c r="A638" t="str">
        <f>"600515"</f>
        <v>600515</v>
      </c>
      <c r="B638" t="str">
        <f>"海岛建设"</f>
        <v>海岛建设</v>
      </c>
      <c r="C638" t="str">
        <f t="shared" si="10"/>
        <v>上海A股</v>
      </c>
    </row>
    <row r="639" spans="1:3">
      <c r="A639" t="str">
        <f>"600516"</f>
        <v>600516</v>
      </c>
      <c r="B639" t="str">
        <f>"方大炭素"</f>
        <v>方大炭素</v>
      </c>
      <c r="C639" t="str">
        <f t="shared" si="10"/>
        <v>上海A股</v>
      </c>
    </row>
    <row r="640" spans="1:3">
      <c r="A640" t="str">
        <f>"600517"</f>
        <v>600517</v>
      </c>
      <c r="B640" t="str">
        <f>"置信电气"</f>
        <v>置信电气</v>
      </c>
      <c r="C640" t="str">
        <f t="shared" si="10"/>
        <v>上海A股</v>
      </c>
    </row>
    <row r="641" spans="1:3">
      <c r="A641" t="str">
        <f>"600518"</f>
        <v>600518</v>
      </c>
      <c r="B641" t="str">
        <f>"康美药业"</f>
        <v>康美药业</v>
      </c>
      <c r="C641" t="str">
        <f t="shared" si="10"/>
        <v>上海A股</v>
      </c>
    </row>
    <row r="642" spans="1:3">
      <c r="A642" t="str">
        <f>"600519"</f>
        <v>600519</v>
      </c>
      <c r="B642" t="str">
        <f>"贵州茅台"</f>
        <v>贵州茅台</v>
      </c>
      <c r="C642" t="str">
        <f t="shared" si="10"/>
        <v>上海A股</v>
      </c>
    </row>
    <row r="643" spans="1:3">
      <c r="A643" t="str">
        <f>"600521"</f>
        <v>600521</v>
      </c>
      <c r="B643" t="str">
        <f>"华海药业"</f>
        <v>华海药业</v>
      </c>
      <c r="C643" t="str">
        <f t="shared" si="10"/>
        <v>上海A股</v>
      </c>
    </row>
    <row r="644" spans="1:3">
      <c r="A644" t="str">
        <f>"600522"</f>
        <v>600522</v>
      </c>
      <c r="B644" t="str">
        <f>"中天科技"</f>
        <v>中天科技</v>
      </c>
      <c r="C644" t="str">
        <f t="shared" si="10"/>
        <v>上海A股</v>
      </c>
    </row>
    <row r="645" spans="1:3">
      <c r="A645" t="str">
        <f>"600523"</f>
        <v>600523</v>
      </c>
      <c r="B645" t="str">
        <f>"贵航股份"</f>
        <v>贵航股份</v>
      </c>
      <c r="C645" t="str">
        <f t="shared" si="10"/>
        <v>上海A股</v>
      </c>
    </row>
    <row r="646" spans="1:3">
      <c r="A646" t="str">
        <f>"600525"</f>
        <v>600525</v>
      </c>
      <c r="B646" t="str">
        <f>"长园集团"</f>
        <v>长园集团</v>
      </c>
      <c r="C646" t="str">
        <f t="shared" si="10"/>
        <v>上海A股</v>
      </c>
    </row>
    <row r="647" spans="1:3">
      <c r="A647" t="str">
        <f>"600526"</f>
        <v>600526</v>
      </c>
      <c r="B647" t="str">
        <f>"菲达环保"</f>
        <v>菲达环保</v>
      </c>
      <c r="C647" t="str">
        <f t="shared" si="10"/>
        <v>上海A股</v>
      </c>
    </row>
    <row r="648" spans="1:3">
      <c r="A648" t="str">
        <f>"600528"</f>
        <v>600528</v>
      </c>
      <c r="B648" t="str">
        <f>"中铁二局"</f>
        <v>中铁二局</v>
      </c>
      <c r="C648" t="str">
        <f t="shared" si="10"/>
        <v>上海A股</v>
      </c>
    </row>
    <row r="649" spans="1:3">
      <c r="A649" t="str">
        <f>"600535"</f>
        <v>600535</v>
      </c>
      <c r="B649" t="str">
        <f>"天士力"</f>
        <v>天士力</v>
      </c>
      <c r="C649" t="str">
        <f t="shared" si="10"/>
        <v>上海A股</v>
      </c>
    </row>
    <row r="650" spans="1:3">
      <c r="A650" t="str">
        <f>"600536"</f>
        <v>600536</v>
      </c>
      <c r="B650" t="str">
        <f>"中国软件"</f>
        <v>中国软件</v>
      </c>
      <c r="C650" t="str">
        <f t="shared" si="10"/>
        <v>上海A股</v>
      </c>
    </row>
    <row r="651" spans="1:3">
      <c r="A651" t="str">
        <f>"600537"</f>
        <v>600537</v>
      </c>
      <c r="B651" t="str">
        <f>"XD亿晶光"</f>
        <v>XD亿晶光</v>
      </c>
      <c r="C651" t="str">
        <f t="shared" si="10"/>
        <v>上海A股</v>
      </c>
    </row>
    <row r="652" spans="1:3">
      <c r="A652" t="str">
        <f>"600543"</f>
        <v>600543</v>
      </c>
      <c r="B652" t="str">
        <f>"莫高股份"</f>
        <v>莫高股份</v>
      </c>
      <c r="C652" t="str">
        <f t="shared" si="10"/>
        <v>上海A股</v>
      </c>
    </row>
    <row r="653" spans="1:3">
      <c r="A653" t="str">
        <f>"600545"</f>
        <v>600545</v>
      </c>
      <c r="B653" t="str">
        <f>"XD新疆城"</f>
        <v>XD新疆城</v>
      </c>
      <c r="C653" t="str">
        <f t="shared" si="10"/>
        <v>上海A股</v>
      </c>
    </row>
    <row r="654" spans="1:3">
      <c r="A654" t="str">
        <f>"600546"</f>
        <v>600546</v>
      </c>
      <c r="B654" t="str">
        <f>"山煤国际"</f>
        <v>山煤国际</v>
      </c>
      <c r="C654" t="str">
        <f t="shared" si="10"/>
        <v>上海A股</v>
      </c>
    </row>
    <row r="655" spans="1:3">
      <c r="A655" t="str">
        <f>"600547"</f>
        <v>600547</v>
      </c>
      <c r="B655" t="str">
        <f>"山东黄金"</f>
        <v>山东黄金</v>
      </c>
      <c r="C655" t="str">
        <f t="shared" si="10"/>
        <v>上海A股</v>
      </c>
    </row>
    <row r="656" spans="1:3">
      <c r="A656" t="str">
        <f>"600549"</f>
        <v>600549</v>
      </c>
      <c r="B656" t="str">
        <f>"厦门钨业"</f>
        <v>厦门钨业</v>
      </c>
      <c r="C656" t="str">
        <f t="shared" si="10"/>
        <v>上海A股</v>
      </c>
    </row>
    <row r="657" spans="1:3">
      <c r="A657" t="str">
        <f>"600551"</f>
        <v>600551</v>
      </c>
      <c r="B657" t="str">
        <f>"时代出版"</f>
        <v>时代出版</v>
      </c>
      <c r="C657" t="str">
        <f t="shared" si="10"/>
        <v>上海A股</v>
      </c>
    </row>
    <row r="658" spans="1:3">
      <c r="A658" t="str">
        <f>"600557"</f>
        <v>600557</v>
      </c>
      <c r="B658" t="str">
        <f>"康缘药业"</f>
        <v>康缘药业</v>
      </c>
      <c r="C658" t="str">
        <f t="shared" si="10"/>
        <v>上海A股</v>
      </c>
    </row>
    <row r="659" spans="1:3">
      <c r="A659" t="str">
        <f>"600559"</f>
        <v>600559</v>
      </c>
      <c r="B659" t="str">
        <f>"老白干酒"</f>
        <v>老白干酒</v>
      </c>
      <c r="C659" t="str">
        <f t="shared" si="10"/>
        <v>上海A股</v>
      </c>
    </row>
    <row r="660" spans="1:3">
      <c r="A660" t="str">
        <f>"600563"</f>
        <v>600563</v>
      </c>
      <c r="B660" t="str">
        <f>"法拉电子"</f>
        <v>法拉电子</v>
      </c>
      <c r="C660" t="str">
        <f t="shared" si="10"/>
        <v>上海A股</v>
      </c>
    </row>
    <row r="661" spans="1:3">
      <c r="A661" t="str">
        <f>"600566"</f>
        <v>600566</v>
      </c>
      <c r="B661" t="str">
        <f>"济川药业"</f>
        <v>济川药业</v>
      </c>
      <c r="C661" t="str">
        <f t="shared" si="10"/>
        <v>上海A股</v>
      </c>
    </row>
    <row r="662" spans="1:3">
      <c r="A662" t="str">
        <f>"600568"</f>
        <v>600568</v>
      </c>
      <c r="B662" t="str">
        <f>"中珠控股"</f>
        <v>中珠控股</v>
      </c>
      <c r="C662" t="str">
        <f t="shared" si="10"/>
        <v>上海A股</v>
      </c>
    </row>
    <row r="663" spans="1:3">
      <c r="A663" t="str">
        <f>"600570"</f>
        <v>600570</v>
      </c>
      <c r="B663" t="str">
        <f>"恒生电子"</f>
        <v>恒生电子</v>
      </c>
      <c r="C663" t="str">
        <f t="shared" ref="C663:C726" si="11">"上海A股"</f>
        <v>上海A股</v>
      </c>
    </row>
    <row r="664" spans="1:3">
      <c r="A664" t="str">
        <f>"600572"</f>
        <v>600572</v>
      </c>
      <c r="B664" t="str">
        <f>"康恩贝"</f>
        <v>康恩贝</v>
      </c>
      <c r="C664" t="str">
        <f t="shared" si="11"/>
        <v>上海A股</v>
      </c>
    </row>
    <row r="665" spans="1:3">
      <c r="A665" t="str">
        <f>"600575"</f>
        <v>600575</v>
      </c>
      <c r="B665" t="str">
        <f>"皖江物流"</f>
        <v>皖江物流</v>
      </c>
      <c r="C665" t="str">
        <f t="shared" si="11"/>
        <v>上海A股</v>
      </c>
    </row>
    <row r="666" spans="1:3">
      <c r="A666" t="str">
        <f>"600578"</f>
        <v>600578</v>
      </c>
      <c r="B666" t="str">
        <f>"京能电力"</f>
        <v>京能电力</v>
      </c>
      <c r="C666" t="str">
        <f t="shared" si="11"/>
        <v>上海A股</v>
      </c>
    </row>
    <row r="667" spans="1:3">
      <c r="A667" t="str">
        <f>"600580"</f>
        <v>600580</v>
      </c>
      <c r="B667" t="str">
        <f>"卧龙电气"</f>
        <v>卧龙电气</v>
      </c>
      <c r="C667" t="str">
        <f t="shared" si="11"/>
        <v>上海A股</v>
      </c>
    </row>
    <row r="668" spans="1:3">
      <c r="A668" t="str">
        <f>"600582"</f>
        <v>600582</v>
      </c>
      <c r="B668" t="str">
        <f>"天地科技"</f>
        <v>天地科技</v>
      </c>
      <c r="C668" t="str">
        <f t="shared" si="11"/>
        <v>上海A股</v>
      </c>
    </row>
    <row r="669" spans="1:3">
      <c r="A669" t="str">
        <f>"600583"</f>
        <v>600583</v>
      </c>
      <c r="B669" t="str">
        <f>"海油工程"</f>
        <v>海油工程</v>
      </c>
      <c r="C669" t="str">
        <f t="shared" si="11"/>
        <v>上海A股</v>
      </c>
    </row>
    <row r="670" spans="1:3">
      <c r="A670" t="str">
        <f>"600584"</f>
        <v>600584</v>
      </c>
      <c r="B670" t="str">
        <f>"长电科技"</f>
        <v>长电科技</v>
      </c>
      <c r="C670" t="str">
        <f t="shared" si="11"/>
        <v>上海A股</v>
      </c>
    </row>
    <row r="671" spans="1:3">
      <c r="A671" t="str">
        <f>"600585"</f>
        <v>600585</v>
      </c>
      <c r="B671" t="str">
        <f>"海螺水泥"</f>
        <v>海螺水泥</v>
      </c>
      <c r="C671" t="str">
        <f t="shared" si="11"/>
        <v>上海A股</v>
      </c>
    </row>
    <row r="672" spans="1:3">
      <c r="A672" t="str">
        <f>"600587"</f>
        <v>600587</v>
      </c>
      <c r="B672" t="str">
        <f>"新华医疗"</f>
        <v>新华医疗</v>
      </c>
      <c r="C672" t="str">
        <f t="shared" si="11"/>
        <v>上海A股</v>
      </c>
    </row>
    <row r="673" spans="1:3">
      <c r="A673" t="str">
        <f>"600588"</f>
        <v>600588</v>
      </c>
      <c r="B673" t="str">
        <f>"用友网络"</f>
        <v>用友网络</v>
      </c>
      <c r="C673" t="str">
        <f t="shared" si="11"/>
        <v>上海A股</v>
      </c>
    </row>
    <row r="674" spans="1:3">
      <c r="A674" t="str">
        <f>"600592"</f>
        <v>600592</v>
      </c>
      <c r="B674" t="str">
        <f>"龙溪股份"</f>
        <v>龙溪股份</v>
      </c>
      <c r="C674" t="str">
        <f t="shared" si="11"/>
        <v>上海A股</v>
      </c>
    </row>
    <row r="675" spans="1:3">
      <c r="A675" t="str">
        <f>"600594"</f>
        <v>600594</v>
      </c>
      <c r="B675" t="str">
        <f>"益佰制药"</f>
        <v>益佰制药</v>
      </c>
      <c r="C675" t="str">
        <f t="shared" si="11"/>
        <v>上海A股</v>
      </c>
    </row>
    <row r="676" spans="1:3">
      <c r="A676" t="str">
        <f>"600595"</f>
        <v>600595</v>
      </c>
      <c r="B676" t="str">
        <f>"中孚实业"</f>
        <v>中孚实业</v>
      </c>
      <c r="C676" t="str">
        <f t="shared" si="11"/>
        <v>上海A股</v>
      </c>
    </row>
    <row r="677" spans="1:3">
      <c r="A677" t="str">
        <f>"600596"</f>
        <v>600596</v>
      </c>
      <c r="B677" t="str">
        <f>"新安股份"</f>
        <v>新安股份</v>
      </c>
      <c r="C677" t="str">
        <f t="shared" si="11"/>
        <v>上海A股</v>
      </c>
    </row>
    <row r="678" spans="1:3">
      <c r="A678" t="str">
        <f>"600597"</f>
        <v>600597</v>
      </c>
      <c r="B678" t="str">
        <f>"光明乳业"</f>
        <v>光明乳业</v>
      </c>
      <c r="C678" t="str">
        <f t="shared" si="11"/>
        <v>上海A股</v>
      </c>
    </row>
    <row r="679" spans="1:3">
      <c r="A679" t="str">
        <f>"600600"</f>
        <v>600600</v>
      </c>
      <c r="B679" t="str">
        <f>"青岛啤酒"</f>
        <v>青岛啤酒</v>
      </c>
      <c r="C679" t="str">
        <f t="shared" si="11"/>
        <v>上海A股</v>
      </c>
    </row>
    <row r="680" spans="1:3">
      <c r="A680" t="str">
        <f>"600601"</f>
        <v>600601</v>
      </c>
      <c r="B680" t="str">
        <f>"方正科技"</f>
        <v>方正科技</v>
      </c>
      <c r="C680" t="str">
        <f t="shared" si="11"/>
        <v>上海A股</v>
      </c>
    </row>
    <row r="681" spans="1:3">
      <c r="A681" t="str">
        <f>"600604"</f>
        <v>600604</v>
      </c>
      <c r="B681" t="str">
        <f>"市北高新"</f>
        <v>市北高新</v>
      </c>
      <c r="C681" t="str">
        <f t="shared" si="11"/>
        <v>上海A股</v>
      </c>
    </row>
    <row r="682" spans="1:3">
      <c r="A682" t="str">
        <f>"600606"</f>
        <v>600606</v>
      </c>
      <c r="B682" t="str">
        <f>"金丰投资"</f>
        <v>金丰投资</v>
      </c>
      <c r="C682" t="str">
        <f t="shared" si="11"/>
        <v>上海A股</v>
      </c>
    </row>
    <row r="683" spans="1:3">
      <c r="A683" t="str">
        <f>"600609"</f>
        <v>600609</v>
      </c>
      <c r="B683" t="str">
        <f>"金杯汽车"</f>
        <v>金杯汽车</v>
      </c>
      <c r="C683" t="str">
        <f t="shared" si="11"/>
        <v>上海A股</v>
      </c>
    </row>
    <row r="684" spans="1:3">
      <c r="A684" t="str">
        <f>"600611"</f>
        <v>600611</v>
      </c>
      <c r="B684" t="str">
        <f>"大众交通"</f>
        <v>大众交通</v>
      </c>
      <c r="C684" t="str">
        <f t="shared" si="11"/>
        <v>上海A股</v>
      </c>
    </row>
    <row r="685" spans="1:3">
      <c r="A685" t="str">
        <f>"600614"</f>
        <v>600614</v>
      </c>
      <c r="B685" t="str">
        <f>"鼎立股份"</f>
        <v>鼎立股份</v>
      </c>
      <c r="C685" t="str">
        <f t="shared" si="11"/>
        <v>上海A股</v>
      </c>
    </row>
    <row r="686" spans="1:3">
      <c r="A686" t="str">
        <f>"600616"</f>
        <v>600616</v>
      </c>
      <c r="B686" t="str">
        <f>"金枫酒业"</f>
        <v>金枫酒业</v>
      </c>
      <c r="C686" t="str">
        <f t="shared" si="11"/>
        <v>上海A股</v>
      </c>
    </row>
    <row r="687" spans="1:3">
      <c r="A687" t="str">
        <f>"600620"</f>
        <v>600620</v>
      </c>
      <c r="B687" t="str">
        <f>"天宸股份"</f>
        <v>天宸股份</v>
      </c>
      <c r="C687" t="str">
        <f t="shared" si="11"/>
        <v>上海A股</v>
      </c>
    </row>
    <row r="688" spans="1:3">
      <c r="A688" t="str">
        <f>"600624"</f>
        <v>600624</v>
      </c>
      <c r="B688" t="str">
        <f>"复旦复华"</f>
        <v>复旦复华</v>
      </c>
      <c r="C688" t="str">
        <f t="shared" si="11"/>
        <v>上海A股</v>
      </c>
    </row>
    <row r="689" spans="1:3">
      <c r="A689" t="str">
        <f>"600626"</f>
        <v>600626</v>
      </c>
      <c r="B689" t="str">
        <f>"申达股份"</f>
        <v>申达股份</v>
      </c>
      <c r="C689" t="str">
        <f t="shared" si="11"/>
        <v>上海A股</v>
      </c>
    </row>
    <row r="690" spans="1:3">
      <c r="A690" t="str">
        <f>"600633"</f>
        <v>600633</v>
      </c>
      <c r="B690" t="str">
        <f>"浙报传媒"</f>
        <v>浙报传媒</v>
      </c>
      <c r="C690" t="str">
        <f t="shared" si="11"/>
        <v>上海A股</v>
      </c>
    </row>
    <row r="691" spans="1:3">
      <c r="A691" t="str">
        <f>"600635"</f>
        <v>600635</v>
      </c>
      <c r="B691" t="str">
        <f>"大众公用"</f>
        <v>大众公用</v>
      </c>
      <c r="C691" t="str">
        <f t="shared" si="11"/>
        <v>上海A股</v>
      </c>
    </row>
    <row r="692" spans="1:3">
      <c r="A692" t="str">
        <f>"600636"</f>
        <v>600636</v>
      </c>
      <c r="B692" t="str">
        <f>"三爱富"</f>
        <v>三爱富</v>
      </c>
      <c r="C692" t="str">
        <f t="shared" si="11"/>
        <v>上海A股</v>
      </c>
    </row>
    <row r="693" spans="1:3">
      <c r="A693" t="str">
        <f>"600637"</f>
        <v>600637</v>
      </c>
      <c r="B693" t="str">
        <f>"百视通"</f>
        <v>百视通</v>
      </c>
      <c r="C693" t="str">
        <f t="shared" si="11"/>
        <v>上海A股</v>
      </c>
    </row>
    <row r="694" spans="1:3">
      <c r="A694" t="str">
        <f>"600639"</f>
        <v>600639</v>
      </c>
      <c r="B694" t="str">
        <f>"浦东金桥"</f>
        <v>浦东金桥</v>
      </c>
      <c r="C694" t="str">
        <f t="shared" si="11"/>
        <v>上海A股</v>
      </c>
    </row>
    <row r="695" spans="1:3">
      <c r="A695" t="str">
        <f>"600640"</f>
        <v>600640</v>
      </c>
      <c r="B695" t="str">
        <f>"号百控股"</f>
        <v>号百控股</v>
      </c>
      <c r="C695" t="str">
        <f t="shared" si="11"/>
        <v>上海A股</v>
      </c>
    </row>
    <row r="696" spans="1:3">
      <c r="A696" t="str">
        <f>"600642"</f>
        <v>600642</v>
      </c>
      <c r="B696" t="str">
        <f>"申能股份"</f>
        <v>申能股份</v>
      </c>
      <c r="C696" t="str">
        <f t="shared" si="11"/>
        <v>上海A股</v>
      </c>
    </row>
    <row r="697" spans="1:3">
      <c r="A697" t="str">
        <f>"600643"</f>
        <v>600643</v>
      </c>
      <c r="B697" t="str">
        <f>"爱建股份"</f>
        <v>爱建股份</v>
      </c>
      <c r="C697" t="str">
        <f t="shared" si="11"/>
        <v>上海A股</v>
      </c>
    </row>
    <row r="698" spans="1:3">
      <c r="A698" t="str">
        <f>"600645"</f>
        <v>600645</v>
      </c>
      <c r="B698" t="str">
        <f>"中源协和"</f>
        <v>中源协和</v>
      </c>
      <c r="C698" t="str">
        <f t="shared" si="11"/>
        <v>上海A股</v>
      </c>
    </row>
    <row r="699" spans="1:3">
      <c r="A699" t="str">
        <f>"600648"</f>
        <v>600648</v>
      </c>
      <c r="B699" t="str">
        <f>"外高桥"</f>
        <v>外高桥</v>
      </c>
      <c r="C699" t="str">
        <f t="shared" si="11"/>
        <v>上海A股</v>
      </c>
    </row>
    <row r="700" spans="1:3">
      <c r="A700" t="str">
        <f>"600649"</f>
        <v>600649</v>
      </c>
      <c r="B700" t="str">
        <f>"城投控股"</f>
        <v>城投控股</v>
      </c>
      <c r="C700" t="str">
        <f t="shared" si="11"/>
        <v>上海A股</v>
      </c>
    </row>
    <row r="701" spans="1:3">
      <c r="A701" t="str">
        <f>"600651"</f>
        <v>600651</v>
      </c>
      <c r="B701" t="str">
        <f>"飞乐音响"</f>
        <v>飞乐音响</v>
      </c>
      <c r="C701" t="str">
        <f t="shared" si="11"/>
        <v>上海A股</v>
      </c>
    </row>
    <row r="702" spans="1:3">
      <c r="A702" t="str">
        <f>"600652"</f>
        <v>600652</v>
      </c>
      <c r="B702" t="str">
        <f>"游久游戏"</f>
        <v>游久游戏</v>
      </c>
      <c r="C702" t="str">
        <f t="shared" si="11"/>
        <v>上海A股</v>
      </c>
    </row>
    <row r="703" spans="1:3">
      <c r="A703" t="str">
        <f>"600653"</f>
        <v>600653</v>
      </c>
      <c r="B703" t="str">
        <f>"申华控股"</f>
        <v>申华控股</v>
      </c>
      <c r="C703" t="str">
        <f t="shared" si="11"/>
        <v>上海A股</v>
      </c>
    </row>
    <row r="704" spans="1:3">
      <c r="A704" t="str">
        <f>"600654"</f>
        <v>600654</v>
      </c>
      <c r="B704" t="str">
        <f>"中安消"</f>
        <v>中安消</v>
      </c>
      <c r="C704" t="str">
        <f t="shared" si="11"/>
        <v>上海A股</v>
      </c>
    </row>
    <row r="705" spans="1:3">
      <c r="A705" t="str">
        <f>"600655"</f>
        <v>600655</v>
      </c>
      <c r="B705" t="str">
        <f>"豫园商城"</f>
        <v>豫园商城</v>
      </c>
      <c r="C705" t="str">
        <f t="shared" si="11"/>
        <v>上海A股</v>
      </c>
    </row>
    <row r="706" spans="1:3">
      <c r="A706" t="str">
        <f>"600660"</f>
        <v>600660</v>
      </c>
      <c r="B706" t="str">
        <f>"福耀玻璃"</f>
        <v>福耀玻璃</v>
      </c>
      <c r="C706" t="str">
        <f t="shared" si="11"/>
        <v>上海A股</v>
      </c>
    </row>
    <row r="707" spans="1:3">
      <c r="A707" t="str">
        <f>"600661"</f>
        <v>600661</v>
      </c>
      <c r="B707" t="str">
        <f>"新南洋"</f>
        <v>新南洋</v>
      </c>
      <c r="C707" t="str">
        <f t="shared" si="11"/>
        <v>上海A股</v>
      </c>
    </row>
    <row r="708" spans="1:3">
      <c r="A708" t="str">
        <f>"600662"</f>
        <v>600662</v>
      </c>
      <c r="B708" t="str">
        <f>"强生控股"</f>
        <v>强生控股</v>
      </c>
      <c r="C708" t="str">
        <f t="shared" si="11"/>
        <v>上海A股</v>
      </c>
    </row>
    <row r="709" spans="1:3">
      <c r="A709" t="str">
        <f>"600663"</f>
        <v>600663</v>
      </c>
      <c r="B709" t="str">
        <f>"陆家嘴"</f>
        <v>陆家嘴</v>
      </c>
      <c r="C709" t="str">
        <f t="shared" si="11"/>
        <v>上海A股</v>
      </c>
    </row>
    <row r="710" spans="1:3">
      <c r="A710" t="str">
        <f>"600664"</f>
        <v>600664</v>
      </c>
      <c r="B710" t="str">
        <f>"哈药股份"</f>
        <v>哈药股份</v>
      </c>
      <c r="C710" t="str">
        <f t="shared" si="11"/>
        <v>上海A股</v>
      </c>
    </row>
    <row r="711" spans="1:3">
      <c r="A711" t="str">
        <f>"600667"</f>
        <v>600667</v>
      </c>
      <c r="B711" t="str">
        <f>"太极实业"</f>
        <v>太极实业</v>
      </c>
      <c r="C711" t="str">
        <f t="shared" si="11"/>
        <v>上海A股</v>
      </c>
    </row>
    <row r="712" spans="1:3">
      <c r="A712" t="str">
        <f>"600668"</f>
        <v>600668</v>
      </c>
      <c r="B712" t="str">
        <f>"尖峰集团"</f>
        <v>尖峰集团</v>
      </c>
      <c r="C712" t="str">
        <f t="shared" si="11"/>
        <v>上海A股</v>
      </c>
    </row>
    <row r="713" spans="1:3">
      <c r="A713" t="str">
        <f>"600673"</f>
        <v>600673</v>
      </c>
      <c r="B713" t="str">
        <f>"东阳光科"</f>
        <v>东阳光科</v>
      </c>
      <c r="C713" t="str">
        <f t="shared" si="11"/>
        <v>上海A股</v>
      </c>
    </row>
    <row r="714" spans="1:3">
      <c r="A714" t="str">
        <f>"600674"</f>
        <v>600674</v>
      </c>
      <c r="B714" t="str">
        <f>"川投能源"</f>
        <v>川投能源</v>
      </c>
      <c r="C714" t="str">
        <f t="shared" si="11"/>
        <v>上海A股</v>
      </c>
    </row>
    <row r="715" spans="1:3">
      <c r="A715" t="str">
        <f>"600675"</f>
        <v>600675</v>
      </c>
      <c r="B715" t="str">
        <f>"中华企业"</f>
        <v>中华企业</v>
      </c>
      <c r="C715" t="str">
        <f t="shared" si="11"/>
        <v>上海A股</v>
      </c>
    </row>
    <row r="716" spans="1:3">
      <c r="A716" t="str">
        <f>"600677"</f>
        <v>600677</v>
      </c>
      <c r="B716" t="str">
        <f>"航天通信"</f>
        <v>航天通信</v>
      </c>
      <c r="C716" t="str">
        <f t="shared" si="11"/>
        <v>上海A股</v>
      </c>
    </row>
    <row r="717" spans="1:3">
      <c r="A717" t="str">
        <f>"600680"</f>
        <v>600680</v>
      </c>
      <c r="B717" t="str">
        <f>"上海普天"</f>
        <v>上海普天</v>
      </c>
      <c r="C717" t="str">
        <f t="shared" si="11"/>
        <v>上海A股</v>
      </c>
    </row>
    <row r="718" spans="1:3">
      <c r="A718" t="str">
        <f>"600684"</f>
        <v>600684</v>
      </c>
      <c r="B718" t="str">
        <f>"珠江实业"</f>
        <v>珠江实业</v>
      </c>
      <c r="C718" t="str">
        <f t="shared" si="11"/>
        <v>上海A股</v>
      </c>
    </row>
    <row r="719" spans="1:3">
      <c r="A719" t="str">
        <f>"600688"</f>
        <v>600688</v>
      </c>
      <c r="B719" t="str">
        <f>"上海石化"</f>
        <v>上海石化</v>
      </c>
      <c r="C719" t="str">
        <f t="shared" si="11"/>
        <v>上海A股</v>
      </c>
    </row>
    <row r="720" spans="1:3">
      <c r="A720" t="str">
        <f>"600690"</f>
        <v>600690</v>
      </c>
      <c r="B720" t="str">
        <f>"青岛海尔"</f>
        <v>青岛海尔</v>
      </c>
      <c r="C720" t="str">
        <f t="shared" si="11"/>
        <v>上海A股</v>
      </c>
    </row>
    <row r="721" spans="1:3">
      <c r="A721" t="str">
        <f>"600692"</f>
        <v>600692</v>
      </c>
      <c r="B721" t="str">
        <f>"亚通股份"</f>
        <v>亚通股份</v>
      </c>
      <c r="C721" t="str">
        <f t="shared" si="11"/>
        <v>上海A股</v>
      </c>
    </row>
    <row r="722" spans="1:3">
      <c r="A722" t="str">
        <f>"600694"</f>
        <v>600694</v>
      </c>
      <c r="B722" t="str">
        <f>"大商股份"</f>
        <v>大商股份</v>
      </c>
      <c r="C722" t="str">
        <f t="shared" si="11"/>
        <v>上海A股</v>
      </c>
    </row>
    <row r="723" spans="1:3">
      <c r="A723" t="str">
        <f>"600696"</f>
        <v>600696</v>
      </c>
      <c r="B723" t="str">
        <f>"多伦股份"</f>
        <v>多伦股份</v>
      </c>
      <c r="C723" t="str">
        <f t="shared" si="11"/>
        <v>上海A股</v>
      </c>
    </row>
    <row r="724" spans="1:3">
      <c r="A724" t="str">
        <f>"600699"</f>
        <v>600699</v>
      </c>
      <c r="B724" t="str">
        <f>"均胜电子"</f>
        <v>均胜电子</v>
      </c>
      <c r="C724" t="str">
        <f t="shared" si="11"/>
        <v>上海A股</v>
      </c>
    </row>
    <row r="725" spans="1:3">
      <c r="A725" t="str">
        <f>"600702"</f>
        <v>600702</v>
      </c>
      <c r="B725" t="str">
        <f>"沱牌舍得"</f>
        <v>沱牌舍得</v>
      </c>
      <c r="C725" t="str">
        <f t="shared" si="11"/>
        <v>上海A股</v>
      </c>
    </row>
    <row r="726" spans="1:3">
      <c r="A726" t="str">
        <f>"600703"</f>
        <v>600703</v>
      </c>
      <c r="B726" t="str">
        <f>"三安光电"</f>
        <v>三安光电</v>
      </c>
      <c r="C726" t="str">
        <f t="shared" si="11"/>
        <v>上海A股</v>
      </c>
    </row>
    <row r="727" spans="1:3">
      <c r="A727" t="str">
        <f>"600704"</f>
        <v>600704</v>
      </c>
      <c r="B727" t="str">
        <f>"物产中大"</f>
        <v>物产中大</v>
      </c>
      <c r="C727" t="str">
        <f t="shared" ref="C727:C790" si="12">"上海A股"</f>
        <v>上海A股</v>
      </c>
    </row>
    <row r="728" spans="1:3">
      <c r="A728" t="str">
        <f>"600705"</f>
        <v>600705</v>
      </c>
      <c r="B728" t="str">
        <f>"中航资本"</f>
        <v>中航资本</v>
      </c>
      <c r="C728" t="str">
        <f t="shared" si="12"/>
        <v>上海A股</v>
      </c>
    </row>
    <row r="729" spans="1:3">
      <c r="A729" t="str">
        <f>"600707"</f>
        <v>600707</v>
      </c>
      <c r="B729" t="str">
        <f>"彩虹股份"</f>
        <v>彩虹股份</v>
      </c>
      <c r="C729" t="str">
        <f t="shared" si="12"/>
        <v>上海A股</v>
      </c>
    </row>
    <row r="730" spans="1:3">
      <c r="A730" t="str">
        <f>"600711"</f>
        <v>600711</v>
      </c>
      <c r="B730" t="str">
        <f>"盛屯矿业"</f>
        <v>盛屯矿业</v>
      </c>
      <c r="C730" t="str">
        <f t="shared" si="12"/>
        <v>上海A股</v>
      </c>
    </row>
    <row r="731" spans="1:3">
      <c r="A731" t="str">
        <f>"600716"</f>
        <v>600716</v>
      </c>
      <c r="B731" t="str">
        <f>"凤凰股份"</f>
        <v>凤凰股份</v>
      </c>
      <c r="C731" t="str">
        <f t="shared" si="12"/>
        <v>上海A股</v>
      </c>
    </row>
    <row r="732" spans="1:3">
      <c r="A732" t="str">
        <f>"600717"</f>
        <v>600717</v>
      </c>
      <c r="B732" t="str">
        <f>"天津港"</f>
        <v>天津港</v>
      </c>
      <c r="C732" t="str">
        <f t="shared" si="12"/>
        <v>上海A股</v>
      </c>
    </row>
    <row r="733" spans="1:3">
      <c r="A733" t="str">
        <f>"600718"</f>
        <v>600718</v>
      </c>
      <c r="B733" t="str">
        <f>"东软集团"</f>
        <v>东软集团</v>
      </c>
      <c r="C733" t="str">
        <f t="shared" si="12"/>
        <v>上海A股</v>
      </c>
    </row>
    <row r="734" spans="1:3">
      <c r="A734" t="str">
        <f>"600720"</f>
        <v>600720</v>
      </c>
      <c r="B734" t="str">
        <f>"祁连山"</f>
        <v>祁连山</v>
      </c>
      <c r="C734" t="str">
        <f t="shared" si="12"/>
        <v>上海A股</v>
      </c>
    </row>
    <row r="735" spans="1:3">
      <c r="A735" t="str">
        <f>"600728"</f>
        <v>600728</v>
      </c>
      <c r="B735" t="str">
        <f>"佳都科技"</f>
        <v>佳都科技</v>
      </c>
      <c r="C735" t="str">
        <f t="shared" si="12"/>
        <v>上海A股</v>
      </c>
    </row>
    <row r="736" spans="1:3">
      <c r="A736" t="str">
        <f>"600729"</f>
        <v>600729</v>
      </c>
      <c r="B736" t="str">
        <f>"重庆百货"</f>
        <v>重庆百货</v>
      </c>
      <c r="C736" t="str">
        <f t="shared" si="12"/>
        <v>上海A股</v>
      </c>
    </row>
    <row r="737" spans="1:3">
      <c r="A737" t="str">
        <f>"600730"</f>
        <v>600730</v>
      </c>
      <c r="B737" t="str">
        <f>"中国高科"</f>
        <v>中国高科</v>
      </c>
      <c r="C737" t="str">
        <f t="shared" si="12"/>
        <v>上海A股</v>
      </c>
    </row>
    <row r="738" spans="1:3">
      <c r="A738" t="str">
        <f>"600737"</f>
        <v>600737</v>
      </c>
      <c r="B738" t="str">
        <f>"中粮屯河"</f>
        <v>中粮屯河</v>
      </c>
      <c r="C738" t="str">
        <f t="shared" si="12"/>
        <v>上海A股</v>
      </c>
    </row>
    <row r="739" spans="1:3">
      <c r="A739" t="str">
        <f>"600739"</f>
        <v>600739</v>
      </c>
      <c r="B739" t="str">
        <f>"辽宁成大"</f>
        <v>辽宁成大</v>
      </c>
      <c r="C739" t="str">
        <f t="shared" si="12"/>
        <v>上海A股</v>
      </c>
    </row>
    <row r="740" spans="1:3">
      <c r="A740" t="str">
        <f>"600740"</f>
        <v>600740</v>
      </c>
      <c r="B740" t="str">
        <f>"山西焦化"</f>
        <v>山西焦化</v>
      </c>
      <c r="C740" t="str">
        <f t="shared" si="12"/>
        <v>上海A股</v>
      </c>
    </row>
    <row r="741" spans="1:3">
      <c r="A741" t="str">
        <f>"600741"</f>
        <v>600741</v>
      </c>
      <c r="B741" t="str">
        <f>"华域汽车"</f>
        <v>华域汽车</v>
      </c>
      <c r="C741" t="str">
        <f t="shared" si="12"/>
        <v>上海A股</v>
      </c>
    </row>
    <row r="742" spans="1:3">
      <c r="A742" t="str">
        <f>"600742"</f>
        <v>600742</v>
      </c>
      <c r="B742" t="str">
        <f>"XD一汽富"</f>
        <v>XD一汽富</v>
      </c>
      <c r="C742" t="str">
        <f t="shared" si="12"/>
        <v>上海A股</v>
      </c>
    </row>
    <row r="743" spans="1:3">
      <c r="A743" t="str">
        <f>"600743"</f>
        <v>600743</v>
      </c>
      <c r="B743" t="str">
        <f>"华远地产"</f>
        <v>华远地产</v>
      </c>
      <c r="C743" t="str">
        <f t="shared" si="12"/>
        <v>上海A股</v>
      </c>
    </row>
    <row r="744" spans="1:3">
      <c r="A744" t="str">
        <f>"600744"</f>
        <v>600744</v>
      </c>
      <c r="B744" t="str">
        <f>"华银电力"</f>
        <v>华银电力</v>
      </c>
      <c r="C744" t="str">
        <f t="shared" si="12"/>
        <v>上海A股</v>
      </c>
    </row>
    <row r="745" spans="1:3">
      <c r="A745" t="str">
        <f>"600747"</f>
        <v>600747</v>
      </c>
      <c r="B745" t="str">
        <f>"大连控股"</f>
        <v>大连控股</v>
      </c>
      <c r="C745" t="str">
        <f t="shared" si="12"/>
        <v>上海A股</v>
      </c>
    </row>
    <row r="746" spans="1:3">
      <c r="A746" t="str">
        <f>"600748"</f>
        <v>600748</v>
      </c>
      <c r="B746" t="str">
        <f>"上实发展"</f>
        <v>上实发展</v>
      </c>
      <c r="C746" t="str">
        <f t="shared" si="12"/>
        <v>上海A股</v>
      </c>
    </row>
    <row r="747" spans="1:3">
      <c r="A747" t="str">
        <f>"600750"</f>
        <v>600750</v>
      </c>
      <c r="B747" t="str">
        <f>"江中药业"</f>
        <v>江中药业</v>
      </c>
      <c r="C747" t="str">
        <f t="shared" si="12"/>
        <v>上海A股</v>
      </c>
    </row>
    <row r="748" spans="1:3">
      <c r="A748" t="str">
        <f>"600751"</f>
        <v>600751</v>
      </c>
      <c r="B748" t="str">
        <f>"天津海运"</f>
        <v>天津海运</v>
      </c>
      <c r="C748" t="str">
        <f t="shared" si="12"/>
        <v>上海A股</v>
      </c>
    </row>
    <row r="749" spans="1:3">
      <c r="A749" t="str">
        <f>"600755"</f>
        <v>600755</v>
      </c>
      <c r="B749" t="str">
        <f>"厦门国贸"</f>
        <v>厦门国贸</v>
      </c>
      <c r="C749" t="str">
        <f t="shared" si="12"/>
        <v>上海A股</v>
      </c>
    </row>
    <row r="750" spans="1:3">
      <c r="A750" t="str">
        <f>"600756"</f>
        <v>600756</v>
      </c>
      <c r="B750" t="str">
        <f>"浪潮软件"</f>
        <v>浪潮软件</v>
      </c>
      <c r="C750" t="str">
        <f t="shared" si="12"/>
        <v>上海A股</v>
      </c>
    </row>
    <row r="751" spans="1:3">
      <c r="A751" t="str">
        <f>"600757"</f>
        <v>600757</v>
      </c>
      <c r="B751" t="str">
        <f>"长江传媒"</f>
        <v>长江传媒</v>
      </c>
      <c r="C751" t="str">
        <f t="shared" si="12"/>
        <v>上海A股</v>
      </c>
    </row>
    <row r="752" spans="1:3">
      <c r="A752" t="str">
        <f>"600759"</f>
        <v>600759</v>
      </c>
      <c r="B752" t="str">
        <f>"洲际油气"</f>
        <v>洲际油气</v>
      </c>
      <c r="C752" t="str">
        <f t="shared" si="12"/>
        <v>上海A股</v>
      </c>
    </row>
    <row r="753" spans="1:3">
      <c r="A753" t="str">
        <f>"600761"</f>
        <v>600761</v>
      </c>
      <c r="B753" t="str">
        <f>"安徽合力"</f>
        <v>安徽合力</v>
      </c>
      <c r="C753" t="str">
        <f t="shared" si="12"/>
        <v>上海A股</v>
      </c>
    </row>
    <row r="754" spans="1:3">
      <c r="A754" t="str">
        <f>"600765"</f>
        <v>600765</v>
      </c>
      <c r="B754" t="str">
        <f>"中航重机"</f>
        <v>中航重机</v>
      </c>
      <c r="C754" t="str">
        <f t="shared" si="12"/>
        <v>上海A股</v>
      </c>
    </row>
    <row r="755" spans="1:3">
      <c r="A755" t="str">
        <f>"600770"</f>
        <v>600770</v>
      </c>
      <c r="B755" t="str">
        <f>"综艺股份"</f>
        <v>综艺股份</v>
      </c>
      <c r="C755" t="str">
        <f t="shared" si="12"/>
        <v>上海A股</v>
      </c>
    </row>
    <row r="756" spans="1:3">
      <c r="A756" t="str">
        <f>"600771"</f>
        <v>600771</v>
      </c>
      <c r="B756" t="str">
        <f>"广誉远"</f>
        <v>广誉远</v>
      </c>
      <c r="C756" t="str">
        <f t="shared" si="12"/>
        <v>上海A股</v>
      </c>
    </row>
    <row r="757" spans="1:3">
      <c r="A757" t="str">
        <f>"600773"</f>
        <v>600773</v>
      </c>
      <c r="B757" t="str">
        <f>"西藏城投"</f>
        <v>西藏城投</v>
      </c>
      <c r="C757" t="str">
        <f t="shared" si="12"/>
        <v>上海A股</v>
      </c>
    </row>
    <row r="758" spans="1:3">
      <c r="A758" t="str">
        <f>"600775"</f>
        <v>600775</v>
      </c>
      <c r="B758" t="str">
        <f>"南京熊猫"</f>
        <v>南京熊猫</v>
      </c>
      <c r="C758" t="str">
        <f t="shared" si="12"/>
        <v>上海A股</v>
      </c>
    </row>
    <row r="759" spans="1:3">
      <c r="A759" t="str">
        <f>"600776"</f>
        <v>600776</v>
      </c>
      <c r="B759" t="str">
        <f>"东方通信"</f>
        <v>东方通信</v>
      </c>
      <c r="C759" t="str">
        <f t="shared" si="12"/>
        <v>上海A股</v>
      </c>
    </row>
    <row r="760" spans="1:3">
      <c r="A760" t="str">
        <f>"600777"</f>
        <v>600777</v>
      </c>
      <c r="B760" t="str">
        <f>"新潮实业"</f>
        <v>新潮实业</v>
      </c>
      <c r="C760" t="str">
        <f t="shared" si="12"/>
        <v>上海A股</v>
      </c>
    </row>
    <row r="761" spans="1:3">
      <c r="A761" t="str">
        <f>"600783"</f>
        <v>600783</v>
      </c>
      <c r="B761" t="str">
        <f>"鲁信创投"</f>
        <v>鲁信创投</v>
      </c>
      <c r="C761" t="str">
        <f t="shared" si="12"/>
        <v>上海A股</v>
      </c>
    </row>
    <row r="762" spans="1:3">
      <c r="A762" t="str">
        <f>"600787"</f>
        <v>600787</v>
      </c>
      <c r="B762" t="str">
        <f>"中储股份"</f>
        <v>中储股份</v>
      </c>
      <c r="C762" t="str">
        <f t="shared" si="12"/>
        <v>上海A股</v>
      </c>
    </row>
    <row r="763" spans="1:3">
      <c r="A763" t="str">
        <f>"600789"</f>
        <v>600789</v>
      </c>
      <c r="B763" t="str">
        <f>"鲁抗医药"</f>
        <v>鲁抗医药</v>
      </c>
      <c r="C763" t="str">
        <f t="shared" si="12"/>
        <v>上海A股</v>
      </c>
    </row>
    <row r="764" spans="1:3">
      <c r="A764" t="str">
        <f>"600790"</f>
        <v>600790</v>
      </c>
      <c r="B764" t="str">
        <f>"轻纺城"</f>
        <v>轻纺城</v>
      </c>
      <c r="C764" t="str">
        <f t="shared" si="12"/>
        <v>上海A股</v>
      </c>
    </row>
    <row r="765" spans="1:3">
      <c r="A765" t="str">
        <f>"600795"</f>
        <v>600795</v>
      </c>
      <c r="B765" t="str">
        <f>"国电电力"</f>
        <v>国电电力</v>
      </c>
      <c r="C765" t="str">
        <f t="shared" si="12"/>
        <v>上海A股</v>
      </c>
    </row>
    <row r="766" spans="1:3">
      <c r="A766" t="str">
        <f>"600797"</f>
        <v>600797</v>
      </c>
      <c r="B766" t="str">
        <f>"浙大网新"</f>
        <v>浙大网新</v>
      </c>
      <c r="C766" t="str">
        <f t="shared" si="12"/>
        <v>上海A股</v>
      </c>
    </row>
    <row r="767" spans="1:3">
      <c r="A767" t="str">
        <f>"600800"</f>
        <v>600800</v>
      </c>
      <c r="B767" t="str">
        <f>"天津磁卡"</f>
        <v>天津磁卡</v>
      </c>
      <c r="C767" t="str">
        <f t="shared" si="12"/>
        <v>上海A股</v>
      </c>
    </row>
    <row r="768" spans="1:3">
      <c r="A768" t="str">
        <f>"600801"</f>
        <v>600801</v>
      </c>
      <c r="B768" t="str">
        <f>"华新水泥"</f>
        <v>华新水泥</v>
      </c>
      <c r="C768" t="str">
        <f t="shared" si="12"/>
        <v>上海A股</v>
      </c>
    </row>
    <row r="769" spans="1:3">
      <c r="A769" t="str">
        <f>"600802"</f>
        <v>600802</v>
      </c>
      <c r="B769" t="str">
        <f>"福建水泥"</f>
        <v>福建水泥</v>
      </c>
      <c r="C769" t="str">
        <f t="shared" si="12"/>
        <v>上海A股</v>
      </c>
    </row>
    <row r="770" spans="1:3">
      <c r="A770" t="str">
        <f>"600804"</f>
        <v>600804</v>
      </c>
      <c r="B770" t="str">
        <f>"鹏博士"</f>
        <v>鹏博士</v>
      </c>
      <c r="C770" t="str">
        <f t="shared" si="12"/>
        <v>上海A股</v>
      </c>
    </row>
    <row r="771" spans="1:3">
      <c r="A771" t="str">
        <f>"600805"</f>
        <v>600805</v>
      </c>
      <c r="B771" t="str">
        <f>"悦达投资"</f>
        <v>悦达投资</v>
      </c>
      <c r="C771" t="str">
        <f t="shared" si="12"/>
        <v>上海A股</v>
      </c>
    </row>
    <row r="772" spans="1:3">
      <c r="A772" t="str">
        <f>"600807"</f>
        <v>600807</v>
      </c>
      <c r="B772" t="str">
        <f>"天业股份"</f>
        <v>天业股份</v>
      </c>
      <c r="C772" t="str">
        <f t="shared" si="12"/>
        <v>上海A股</v>
      </c>
    </row>
    <row r="773" spans="1:3">
      <c r="A773" t="str">
        <f>"600808"</f>
        <v>600808</v>
      </c>
      <c r="B773" t="str">
        <f>"马钢股份"</f>
        <v>马钢股份</v>
      </c>
      <c r="C773" t="str">
        <f t="shared" si="12"/>
        <v>上海A股</v>
      </c>
    </row>
    <row r="774" spans="1:3">
      <c r="A774" t="str">
        <f>"600809"</f>
        <v>600809</v>
      </c>
      <c r="B774" t="str">
        <f>"山西汾酒"</f>
        <v>山西汾酒</v>
      </c>
      <c r="C774" t="str">
        <f t="shared" si="12"/>
        <v>上海A股</v>
      </c>
    </row>
    <row r="775" spans="1:3">
      <c r="A775" t="str">
        <f>"600811"</f>
        <v>600811</v>
      </c>
      <c r="B775" t="str">
        <f>"东方集团"</f>
        <v>东方集团</v>
      </c>
      <c r="C775" t="str">
        <f t="shared" si="12"/>
        <v>上海A股</v>
      </c>
    </row>
    <row r="776" spans="1:3">
      <c r="A776" t="str">
        <f>"600815"</f>
        <v>600815</v>
      </c>
      <c r="B776" t="str">
        <f>"厦工股份"</f>
        <v>厦工股份</v>
      </c>
      <c r="C776" t="str">
        <f t="shared" si="12"/>
        <v>上海A股</v>
      </c>
    </row>
    <row r="777" spans="1:3">
      <c r="A777" t="str">
        <f>"600816"</f>
        <v>600816</v>
      </c>
      <c r="B777" t="str">
        <f>"安信信托"</f>
        <v>安信信托</v>
      </c>
      <c r="C777" t="str">
        <f t="shared" si="12"/>
        <v>上海A股</v>
      </c>
    </row>
    <row r="778" spans="1:3">
      <c r="A778" t="str">
        <f>"600820"</f>
        <v>600820</v>
      </c>
      <c r="B778" t="str">
        <f>"隧道股份"</f>
        <v>隧道股份</v>
      </c>
      <c r="C778" t="str">
        <f t="shared" si="12"/>
        <v>上海A股</v>
      </c>
    </row>
    <row r="779" spans="1:3">
      <c r="A779" t="str">
        <f>"600823"</f>
        <v>600823</v>
      </c>
      <c r="B779" t="str">
        <f>"世茂股份"</f>
        <v>世茂股份</v>
      </c>
      <c r="C779" t="str">
        <f t="shared" si="12"/>
        <v>上海A股</v>
      </c>
    </row>
    <row r="780" spans="1:3">
      <c r="A780" t="str">
        <f>"600825"</f>
        <v>600825</v>
      </c>
      <c r="B780" t="str">
        <f>"新华传媒"</f>
        <v>新华传媒</v>
      </c>
      <c r="C780" t="str">
        <f t="shared" si="12"/>
        <v>上海A股</v>
      </c>
    </row>
    <row r="781" spans="1:3">
      <c r="A781" t="str">
        <f>"600826"</f>
        <v>600826</v>
      </c>
      <c r="B781" t="str">
        <f>"兰生股份"</f>
        <v>兰生股份</v>
      </c>
      <c r="C781" t="str">
        <f t="shared" si="12"/>
        <v>上海A股</v>
      </c>
    </row>
    <row r="782" spans="1:3">
      <c r="A782" t="str">
        <f>"600827"</f>
        <v>600827</v>
      </c>
      <c r="B782" t="str">
        <f>"百联股份"</f>
        <v>百联股份</v>
      </c>
      <c r="C782" t="str">
        <f t="shared" si="12"/>
        <v>上海A股</v>
      </c>
    </row>
    <row r="783" spans="1:3">
      <c r="A783" t="str">
        <f>"600830"</f>
        <v>600830</v>
      </c>
      <c r="B783" t="str">
        <f>"香溢融通"</f>
        <v>香溢融通</v>
      </c>
      <c r="C783" t="str">
        <f t="shared" si="12"/>
        <v>上海A股</v>
      </c>
    </row>
    <row r="784" spans="1:3">
      <c r="A784" t="str">
        <f>"600831"</f>
        <v>600831</v>
      </c>
      <c r="B784" t="str">
        <f>"广电网络"</f>
        <v>广电网络</v>
      </c>
      <c r="C784" t="str">
        <f t="shared" si="12"/>
        <v>上海A股</v>
      </c>
    </row>
    <row r="785" spans="1:3">
      <c r="A785" t="str">
        <f>"600835"</f>
        <v>600835</v>
      </c>
      <c r="B785" t="str">
        <f>"上海机电"</f>
        <v>上海机电</v>
      </c>
      <c r="C785" t="str">
        <f t="shared" si="12"/>
        <v>上海A股</v>
      </c>
    </row>
    <row r="786" spans="1:3">
      <c r="A786" t="str">
        <f>"600837"</f>
        <v>600837</v>
      </c>
      <c r="B786" t="str">
        <f>"海通证券"</f>
        <v>海通证券</v>
      </c>
      <c r="C786" t="str">
        <f t="shared" si="12"/>
        <v>上海A股</v>
      </c>
    </row>
    <row r="787" spans="1:3">
      <c r="A787" t="str">
        <f>"600838"</f>
        <v>600838</v>
      </c>
      <c r="B787" t="str">
        <f>"上海九百"</f>
        <v>上海九百</v>
      </c>
      <c r="C787" t="str">
        <f t="shared" si="12"/>
        <v>上海A股</v>
      </c>
    </row>
    <row r="788" spans="1:3">
      <c r="A788" t="str">
        <f>"600839"</f>
        <v>600839</v>
      </c>
      <c r="B788" t="str">
        <f>"四川长虹"</f>
        <v>四川长虹</v>
      </c>
      <c r="C788" t="str">
        <f t="shared" si="12"/>
        <v>上海A股</v>
      </c>
    </row>
    <row r="789" spans="1:3">
      <c r="A789" t="str">
        <f>"600844"</f>
        <v>600844</v>
      </c>
      <c r="B789" t="str">
        <f>"丹化科技"</f>
        <v>丹化科技</v>
      </c>
      <c r="C789" t="str">
        <f t="shared" si="12"/>
        <v>上海A股</v>
      </c>
    </row>
    <row r="790" spans="1:3">
      <c r="A790" t="str">
        <f>"600846"</f>
        <v>600846</v>
      </c>
      <c r="B790" t="str">
        <f>"同济科技"</f>
        <v>同济科技</v>
      </c>
      <c r="C790" t="str">
        <f t="shared" si="12"/>
        <v>上海A股</v>
      </c>
    </row>
    <row r="791" spans="1:3">
      <c r="A791" t="str">
        <f>"600851"</f>
        <v>600851</v>
      </c>
      <c r="B791" t="str">
        <f>"海欣股份"</f>
        <v>海欣股份</v>
      </c>
      <c r="C791" t="str">
        <f t="shared" ref="C791:C854" si="13">"上海A股"</f>
        <v>上海A股</v>
      </c>
    </row>
    <row r="792" spans="1:3">
      <c r="A792" t="str">
        <f>"600855"</f>
        <v>600855</v>
      </c>
      <c r="B792" t="str">
        <f>"航天长峰"</f>
        <v>航天长峰</v>
      </c>
      <c r="C792" t="str">
        <f t="shared" si="13"/>
        <v>上海A股</v>
      </c>
    </row>
    <row r="793" spans="1:3">
      <c r="A793" t="str">
        <f>"600859"</f>
        <v>600859</v>
      </c>
      <c r="B793" t="str">
        <f>"王府井"</f>
        <v>王府井</v>
      </c>
      <c r="C793" t="str">
        <f t="shared" si="13"/>
        <v>上海A股</v>
      </c>
    </row>
    <row r="794" spans="1:3">
      <c r="A794" t="str">
        <f>"600863"</f>
        <v>600863</v>
      </c>
      <c r="B794" t="str">
        <f>"内蒙华电"</f>
        <v>内蒙华电</v>
      </c>
      <c r="C794" t="str">
        <f t="shared" si="13"/>
        <v>上海A股</v>
      </c>
    </row>
    <row r="795" spans="1:3">
      <c r="A795" t="str">
        <f>"600867"</f>
        <v>600867</v>
      </c>
      <c r="B795" t="str">
        <f>"通化东宝"</f>
        <v>通化东宝</v>
      </c>
      <c r="C795" t="str">
        <f t="shared" si="13"/>
        <v>上海A股</v>
      </c>
    </row>
    <row r="796" spans="1:3">
      <c r="A796" t="str">
        <f>"600868"</f>
        <v>600868</v>
      </c>
      <c r="B796" t="str">
        <f>"梅雁吉祥"</f>
        <v>梅雁吉祥</v>
      </c>
      <c r="C796" t="str">
        <f t="shared" si="13"/>
        <v>上海A股</v>
      </c>
    </row>
    <row r="797" spans="1:3">
      <c r="A797" t="str">
        <f>"600872"</f>
        <v>600872</v>
      </c>
      <c r="B797" t="str">
        <f>"中炬高新"</f>
        <v>中炬高新</v>
      </c>
      <c r="C797" t="str">
        <f t="shared" si="13"/>
        <v>上海A股</v>
      </c>
    </row>
    <row r="798" spans="1:3">
      <c r="A798" t="str">
        <f>"600873"</f>
        <v>600873</v>
      </c>
      <c r="B798" t="str">
        <f>"梅花生物"</f>
        <v>梅花生物</v>
      </c>
      <c r="C798" t="str">
        <f t="shared" si="13"/>
        <v>上海A股</v>
      </c>
    </row>
    <row r="799" spans="1:3">
      <c r="A799" t="str">
        <f>"600874"</f>
        <v>600874</v>
      </c>
      <c r="B799" t="str">
        <f>"创业环保"</f>
        <v>创业环保</v>
      </c>
      <c r="C799" t="str">
        <f t="shared" si="13"/>
        <v>上海A股</v>
      </c>
    </row>
    <row r="800" spans="1:3">
      <c r="A800" t="str">
        <f>"600875"</f>
        <v>600875</v>
      </c>
      <c r="B800" t="str">
        <f>"东方电气"</f>
        <v>东方电气</v>
      </c>
      <c r="C800" t="str">
        <f t="shared" si="13"/>
        <v>上海A股</v>
      </c>
    </row>
    <row r="801" spans="1:3">
      <c r="A801" t="str">
        <f>"600877"</f>
        <v>600877</v>
      </c>
      <c r="B801" t="str">
        <f>"中国嘉陵"</f>
        <v>中国嘉陵</v>
      </c>
      <c r="C801" t="str">
        <f t="shared" si="13"/>
        <v>上海A股</v>
      </c>
    </row>
    <row r="802" spans="1:3">
      <c r="A802" t="str">
        <f>"600879"</f>
        <v>600879</v>
      </c>
      <c r="B802" t="str">
        <f>"航天电子"</f>
        <v>航天电子</v>
      </c>
      <c r="C802" t="str">
        <f t="shared" si="13"/>
        <v>上海A股</v>
      </c>
    </row>
    <row r="803" spans="1:3">
      <c r="A803" t="str">
        <f>"600880"</f>
        <v>600880</v>
      </c>
      <c r="B803" t="str">
        <f>"博瑞传播"</f>
        <v>博瑞传播</v>
      </c>
      <c r="C803" t="str">
        <f t="shared" si="13"/>
        <v>上海A股</v>
      </c>
    </row>
    <row r="804" spans="1:3">
      <c r="A804" t="str">
        <f>"600881"</f>
        <v>600881</v>
      </c>
      <c r="B804" t="str">
        <f>"亚泰集团"</f>
        <v>亚泰集团</v>
      </c>
      <c r="C804" t="str">
        <f t="shared" si="13"/>
        <v>上海A股</v>
      </c>
    </row>
    <row r="805" spans="1:3">
      <c r="A805" t="str">
        <f>"600884"</f>
        <v>600884</v>
      </c>
      <c r="B805" t="str">
        <f>"杉杉股份"</f>
        <v>杉杉股份</v>
      </c>
      <c r="C805" t="str">
        <f t="shared" si="13"/>
        <v>上海A股</v>
      </c>
    </row>
    <row r="806" spans="1:3">
      <c r="A806" t="str">
        <f>"600886"</f>
        <v>600886</v>
      </c>
      <c r="B806" t="str">
        <f>"国投电力"</f>
        <v>国投电力</v>
      </c>
      <c r="C806" t="str">
        <f t="shared" si="13"/>
        <v>上海A股</v>
      </c>
    </row>
    <row r="807" spans="1:3">
      <c r="A807" t="str">
        <f>"600887"</f>
        <v>600887</v>
      </c>
      <c r="B807" t="str">
        <f>"伊利股份"</f>
        <v>伊利股份</v>
      </c>
      <c r="C807" t="str">
        <f t="shared" si="13"/>
        <v>上海A股</v>
      </c>
    </row>
    <row r="808" spans="1:3">
      <c r="A808" t="str">
        <f>"600893"</f>
        <v>600893</v>
      </c>
      <c r="B808" t="str">
        <f>"中航动力"</f>
        <v>中航动力</v>
      </c>
      <c r="C808" t="str">
        <f t="shared" si="13"/>
        <v>上海A股</v>
      </c>
    </row>
    <row r="809" spans="1:3">
      <c r="A809" t="str">
        <f>"600894"</f>
        <v>600894</v>
      </c>
      <c r="B809" t="str">
        <f>"广日股份"</f>
        <v>广日股份</v>
      </c>
      <c r="C809" t="str">
        <f t="shared" si="13"/>
        <v>上海A股</v>
      </c>
    </row>
    <row r="810" spans="1:3">
      <c r="A810" t="str">
        <f>"600895"</f>
        <v>600895</v>
      </c>
      <c r="B810" t="str">
        <f>"张江高科"</f>
        <v>张江高科</v>
      </c>
      <c r="C810" t="str">
        <f t="shared" si="13"/>
        <v>上海A股</v>
      </c>
    </row>
    <row r="811" spans="1:3">
      <c r="A811" t="str">
        <f>"600900"</f>
        <v>600900</v>
      </c>
      <c r="B811" t="str">
        <f>"长江电力"</f>
        <v>长江电力</v>
      </c>
      <c r="C811" t="str">
        <f t="shared" si="13"/>
        <v>上海A股</v>
      </c>
    </row>
    <row r="812" spans="1:3">
      <c r="A812" t="str">
        <f>"600967"</f>
        <v>600967</v>
      </c>
      <c r="B812" t="str">
        <f>"北方创业"</f>
        <v>北方创业</v>
      </c>
      <c r="C812" t="str">
        <f t="shared" si="13"/>
        <v>上海A股</v>
      </c>
    </row>
    <row r="813" spans="1:3">
      <c r="A813" t="str">
        <f>"600970"</f>
        <v>600970</v>
      </c>
      <c r="B813" t="str">
        <f>"中材国际"</f>
        <v>中材国际</v>
      </c>
      <c r="C813" t="str">
        <f t="shared" si="13"/>
        <v>上海A股</v>
      </c>
    </row>
    <row r="814" spans="1:3">
      <c r="A814" t="str">
        <f>"600971"</f>
        <v>600971</v>
      </c>
      <c r="B814" t="str">
        <f>"恒源煤电"</f>
        <v>恒源煤电</v>
      </c>
      <c r="C814" t="str">
        <f t="shared" si="13"/>
        <v>上海A股</v>
      </c>
    </row>
    <row r="815" spans="1:3">
      <c r="A815" t="str">
        <f>"600976"</f>
        <v>600976</v>
      </c>
      <c r="B815" t="str">
        <f>"健民集团"</f>
        <v>健民集团</v>
      </c>
      <c r="C815" t="str">
        <f t="shared" si="13"/>
        <v>上海A股</v>
      </c>
    </row>
    <row r="816" spans="1:3">
      <c r="A816" t="str">
        <f>"600978"</f>
        <v>600978</v>
      </c>
      <c r="B816" t="str">
        <f>"宜华木业"</f>
        <v>宜华木业</v>
      </c>
      <c r="C816" t="str">
        <f t="shared" si="13"/>
        <v>上海A股</v>
      </c>
    </row>
    <row r="817" spans="1:3">
      <c r="A817" t="str">
        <f>"600987"</f>
        <v>600987</v>
      </c>
      <c r="B817" t="str">
        <f>"航民股份"</f>
        <v>航民股份</v>
      </c>
      <c r="C817" t="str">
        <f t="shared" si="13"/>
        <v>上海A股</v>
      </c>
    </row>
    <row r="818" spans="1:3">
      <c r="A818" t="str">
        <f>"600993"</f>
        <v>600993</v>
      </c>
      <c r="B818" t="str">
        <f>"马应龙"</f>
        <v>马应龙</v>
      </c>
      <c r="C818" t="str">
        <f t="shared" si="13"/>
        <v>上海A股</v>
      </c>
    </row>
    <row r="819" spans="1:3">
      <c r="A819" t="str">
        <f>"600998"</f>
        <v>600998</v>
      </c>
      <c r="B819" t="str">
        <f>"九州通"</f>
        <v>九州通</v>
      </c>
      <c r="C819" t="str">
        <f t="shared" si="13"/>
        <v>上海A股</v>
      </c>
    </row>
    <row r="820" spans="1:3">
      <c r="A820" t="str">
        <f>"600999"</f>
        <v>600999</v>
      </c>
      <c r="B820" t="str">
        <f>"招商证券"</f>
        <v>招商证券</v>
      </c>
      <c r="C820" t="str">
        <f t="shared" si="13"/>
        <v>上海A股</v>
      </c>
    </row>
    <row r="821" spans="1:3">
      <c r="A821" t="str">
        <f>"601000"</f>
        <v>601000</v>
      </c>
      <c r="B821" t="str">
        <f>"唐山港"</f>
        <v>唐山港</v>
      </c>
      <c r="C821" t="str">
        <f t="shared" si="13"/>
        <v>上海A股</v>
      </c>
    </row>
    <row r="822" spans="1:3">
      <c r="A822" t="str">
        <f>"601001"</f>
        <v>601001</v>
      </c>
      <c r="B822" t="str">
        <f>"大同煤业"</f>
        <v>大同煤业</v>
      </c>
      <c r="C822" t="str">
        <f t="shared" si="13"/>
        <v>上海A股</v>
      </c>
    </row>
    <row r="823" spans="1:3">
      <c r="A823" t="str">
        <f>"601002"</f>
        <v>601002</v>
      </c>
      <c r="B823" t="str">
        <f>"晋亿实业"</f>
        <v>晋亿实业</v>
      </c>
      <c r="C823" t="str">
        <f t="shared" si="13"/>
        <v>上海A股</v>
      </c>
    </row>
    <row r="824" spans="1:3">
      <c r="A824" t="str">
        <f>"601005"</f>
        <v>601005</v>
      </c>
      <c r="B824" t="str">
        <f>"重庆钢铁"</f>
        <v>重庆钢铁</v>
      </c>
      <c r="C824" t="str">
        <f t="shared" si="13"/>
        <v>上海A股</v>
      </c>
    </row>
    <row r="825" spans="1:3">
      <c r="A825" t="str">
        <f>"601006"</f>
        <v>601006</v>
      </c>
      <c r="B825" t="str">
        <f>"大秦铁路"</f>
        <v>大秦铁路</v>
      </c>
      <c r="C825" t="str">
        <f t="shared" si="13"/>
        <v>上海A股</v>
      </c>
    </row>
    <row r="826" spans="1:3">
      <c r="A826" t="str">
        <f>"601009"</f>
        <v>601009</v>
      </c>
      <c r="B826" t="str">
        <f>"南京银行"</f>
        <v>南京银行</v>
      </c>
      <c r="C826" t="str">
        <f t="shared" si="13"/>
        <v>上海A股</v>
      </c>
    </row>
    <row r="827" spans="1:3">
      <c r="A827" t="str">
        <f>"601012"</f>
        <v>601012</v>
      </c>
      <c r="B827" t="str">
        <f>"隆基股份"</f>
        <v>隆基股份</v>
      </c>
      <c r="C827" t="str">
        <f t="shared" si="13"/>
        <v>上海A股</v>
      </c>
    </row>
    <row r="828" spans="1:3">
      <c r="A828" t="str">
        <f>"601018"</f>
        <v>601018</v>
      </c>
      <c r="B828" t="str">
        <f>"宁波港"</f>
        <v>宁波港</v>
      </c>
      <c r="C828" t="str">
        <f t="shared" si="13"/>
        <v>上海A股</v>
      </c>
    </row>
    <row r="829" spans="1:3">
      <c r="A829" t="str">
        <f>"601038"</f>
        <v>601038</v>
      </c>
      <c r="B829" t="str">
        <f>"一拖股份"</f>
        <v>一拖股份</v>
      </c>
      <c r="C829" t="str">
        <f t="shared" si="13"/>
        <v>上海A股</v>
      </c>
    </row>
    <row r="830" spans="1:3">
      <c r="A830" t="str">
        <f>"601088"</f>
        <v>601088</v>
      </c>
      <c r="B830" t="str">
        <f>"中国神华"</f>
        <v>中国神华</v>
      </c>
      <c r="C830" t="str">
        <f t="shared" si="13"/>
        <v>上海A股</v>
      </c>
    </row>
    <row r="831" spans="1:3">
      <c r="A831" t="str">
        <f>"601098"</f>
        <v>601098</v>
      </c>
      <c r="B831" t="str">
        <f>"中南传媒"</f>
        <v>中南传媒</v>
      </c>
      <c r="C831" t="str">
        <f t="shared" si="13"/>
        <v>上海A股</v>
      </c>
    </row>
    <row r="832" spans="1:3">
      <c r="A832" t="str">
        <f>"601099"</f>
        <v>601099</v>
      </c>
      <c r="B832" t="str">
        <f>"太平洋"</f>
        <v>太平洋</v>
      </c>
      <c r="C832" t="str">
        <f t="shared" si="13"/>
        <v>上海A股</v>
      </c>
    </row>
    <row r="833" spans="1:3">
      <c r="A833" t="str">
        <f>"601101"</f>
        <v>601101</v>
      </c>
      <c r="B833" t="str">
        <f>"昊华能源"</f>
        <v>昊华能源</v>
      </c>
      <c r="C833" t="str">
        <f t="shared" si="13"/>
        <v>上海A股</v>
      </c>
    </row>
    <row r="834" spans="1:3">
      <c r="A834" t="str">
        <f>"601106"</f>
        <v>601106</v>
      </c>
      <c r="B834" t="str">
        <f>"中国一重"</f>
        <v>中国一重</v>
      </c>
      <c r="C834" t="str">
        <f t="shared" si="13"/>
        <v>上海A股</v>
      </c>
    </row>
    <row r="835" spans="1:3">
      <c r="A835" t="str">
        <f>"601111"</f>
        <v>601111</v>
      </c>
      <c r="B835" t="str">
        <f>"中国国航"</f>
        <v>中国国航</v>
      </c>
      <c r="C835" t="str">
        <f t="shared" si="13"/>
        <v>上海A股</v>
      </c>
    </row>
    <row r="836" spans="1:3">
      <c r="A836" t="str">
        <f>"601117"</f>
        <v>601117</v>
      </c>
      <c r="B836" t="str">
        <f>"中国化学"</f>
        <v>中国化学</v>
      </c>
      <c r="C836" t="str">
        <f t="shared" si="13"/>
        <v>上海A股</v>
      </c>
    </row>
    <row r="837" spans="1:3">
      <c r="A837" t="str">
        <f>"601118"</f>
        <v>601118</v>
      </c>
      <c r="B837" t="str">
        <f>"海南橡胶"</f>
        <v>海南橡胶</v>
      </c>
      <c r="C837" t="str">
        <f t="shared" si="13"/>
        <v>上海A股</v>
      </c>
    </row>
    <row r="838" spans="1:3">
      <c r="A838" t="str">
        <f>"601139"</f>
        <v>601139</v>
      </c>
      <c r="B838" t="str">
        <f>"深圳燃气"</f>
        <v>深圳燃气</v>
      </c>
      <c r="C838" t="str">
        <f t="shared" si="13"/>
        <v>上海A股</v>
      </c>
    </row>
    <row r="839" spans="1:3">
      <c r="A839" t="str">
        <f>"601158"</f>
        <v>601158</v>
      </c>
      <c r="B839" t="str">
        <f>"重庆水务"</f>
        <v>重庆水务</v>
      </c>
      <c r="C839" t="str">
        <f t="shared" si="13"/>
        <v>上海A股</v>
      </c>
    </row>
    <row r="840" spans="1:3">
      <c r="A840" t="str">
        <f>"601166"</f>
        <v>601166</v>
      </c>
      <c r="B840" t="str">
        <f>"兴业银行"</f>
        <v>兴业银行</v>
      </c>
      <c r="C840" t="str">
        <f t="shared" si="13"/>
        <v>上海A股</v>
      </c>
    </row>
    <row r="841" spans="1:3">
      <c r="A841" t="str">
        <f>"601168"</f>
        <v>601168</v>
      </c>
      <c r="B841" t="str">
        <f>"西部矿业"</f>
        <v>西部矿业</v>
      </c>
      <c r="C841" t="str">
        <f t="shared" si="13"/>
        <v>上海A股</v>
      </c>
    </row>
    <row r="842" spans="1:3">
      <c r="A842" t="str">
        <f>"601169"</f>
        <v>601169</v>
      </c>
      <c r="B842" t="str">
        <f>"北京银行"</f>
        <v>北京银行</v>
      </c>
      <c r="C842" t="str">
        <f t="shared" si="13"/>
        <v>上海A股</v>
      </c>
    </row>
    <row r="843" spans="1:3">
      <c r="A843" t="str">
        <f>"601179"</f>
        <v>601179</v>
      </c>
      <c r="B843" t="str">
        <f>"中国西电"</f>
        <v>中国西电</v>
      </c>
      <c r="C843" t="str">
        <f t="shared" si="13"/>
        <v>上海A股</v>
      </c>
    </row>
    <row r="844" spans="1:3">
      <c r="A844" t="str">
        <f>"601186"</f>
        <v>601186</v>
      </c>
      <c r="B844" t="str">
        <f>"中国铁建"</f>
        <v>中国铁建</v>
      </c>
      <c r="C844" t="str">
        <f t="shared" si="13"/>
        <v>上海A股</v>
      </c>
    </row>
    <row r="845" spans="1:3">
      <c r="A845" t="str">
        <f>"601216"</f>
        <v>601216</v>
      </c>
      <c r="B845" t="str">
        <f>"内蒙君正"</f>
        <v>内蒙君正</v>
      </c>
      <c r="C845" t="str">
        <f t="shared" si="13"/>
        <v>上海A股</v>
      </c>
    </row>
    <row r="846" spans="1:3">
      <c r="A846" t="str">
        <f>"601218"</f>
        <v>601218</v>
      </c>
      <c r="B846" t="str">
        <f>"吉鑫科技"</f>
        <v>吉鑫科技</v>
      </c>
      <c r="C846" t="str">
        <f t="shared" si="13"/>
        <v>上海A股</v>
      </c>
    </row>
    <row r="847" spans="1:3">
      <c r="A847" t="str">
        <f>"601225"</f>
        <v>601225</v>
      </c>
      <c r="B847" t="str">
        <f>"陕西煤业"</f>
        <v>陕西煤业</v>
      </c>
      <c r="C847" t="str">
        <f t="shared" si="13"/>
        <v>上海A股</v>
      </c>
    </row>
    <row r="848" spans="1:3">
      <c r="A848" t="str">
        <f>"601231"</f>
        <v>601231</v>
      </c>
      <c r="B848" t="str">
        <f>"环旭电子"</f>
        <v>环旭电子</v>
      </c>
      <c r="C848" t="str">
        <f t="shared" si="13"/>
        <v>上海A股</v>
      </c>
    </row>
    <row r="849" spans="1:3">
      <c r="A849" t="str">
        <f>"601238"</f>
        <v>601238</v>
      </c>
      <c r="B849" t="str">
        <f>"广汽集团"</f>
        <v>广汽集团</v>
      </c>
      <c r="C849" t="str">
        <f t="shared" si="13"/>
        <v>上海A股</v>
      </c>
    </row>
    <row r="850" spans="1:3">
      <c r="A850" t="str">
        <f>"601258"</f>
        <v>601258</v>
      </c>
      <c r="B850" t="str">
        <f>"庞大集团"</f>
        <v>庞大集团</v>
      </c>
      <c r="C850" t="str">
        <f t="shared" si="13"/>
        <v>上海A股</v>
      </c>
    </row>
    <row r="851" spans="1:3">
      <c r="A851" t="str">
        <f>"601288"</f>
        <v>601288</v>
      </c>
      <c r="B851" t="str">
        <f>"农业银行"</f>
        <v>农业银行</v>
      </c>
      <c r="C851" t="str">
        <f t="shared" si="13"/>
        <v>上海A股</v>
      </c>
    </row>
    <row r="852" spans="1:3">
      <c r="A852" t="str">
        <f>"601311"</f>
        <v>601311</v>
      </c>
      <c r="B852" t="str">
        <f>"骆驼股份"</f>
        <v>骆驼股份</v>
      </c>
      <c r="C852" t="str">
        <f t="shared" si="13"/>
        <v>上海A股</v>
      </c>
    </row>
    <row r="853" spans="1:3">
      <c r="A853" t="str">
        <f>"601318"</f>
        <v>601318</v>
      </c>
      <c r="B853" t="str">
        <f>"中国平安"</f>
        <v>中国平安</v>
      </c>
      <c r="C853" t="str">
        <f t="shared" si="13"/>
        <v>上海A股</v>
      </c>
    </row>
    <row r="854" spans="1:3">
      <c r="A854" t="str">
        <f>"601328"</f>
        <v>601328</v>
      </c>
      <c r="B854" t="str">
        <f>"交通银行"</f>
        <v>交通银行</v>
      </c>
      <c r="C854" t="str">
        <f t="shared" si="13"/>
        <v>上海A股</v>
      </c>
    </row>
    <row r="855" spans="1:3">
      <c r="A855" t="str">
        <f>"601333"</f>
        <v>601333</v>
      </c>
      <c r="B855" t="str">
        <f>"广深铁路"</f>
        <v>广深铁路</v>
      </c>
      <c r="C855" t="str">
        <f t="shared" ref="C855:C913" si="14">"上海A股"</f>
        <v>上海A股</v>
      </c>
    </row>
    <row r="856" spans="1:3">
      <c r="A856" t="str">
        <f>"601336"</f>
        <v>601336</v>
      </c>
      <c r="B856" t="str">
        <f>"新华保险"</f>
        <v>新华保险</v>
      </c>
      <c r="C856" t="str">
        <f t="shared" si="14"/>
        <v>上海A股</v>
      </c>
    </row>
    <row r="857" spans="1:3">
      <c r="A857" t="str">
        <f>"601369"</f>
        <v>601369</v>
      </c>
      <c r="B857" t="str">
        <f>"陕鼓动力"</f>
        <v>陕鼓动力</v>
      </c>
      <c r="C857" t="str">
        <f t="shared" si="14"/>
        <v>上海A股</v>
      </c>
    </row>
    <row r="858" spans="1:3">
      <c r="A858" t="str">
        <f>"601377"</f>
        <v>601377</v>
      </c>
      <c r="B858" t="str">
        <f>"兴业证券"</f>
        <v>兴业证券</v>
      </c>
      <c r="C858" t="str">
        <f t="shared" si="14"/>
        <v>上海A股</v>
      </c>
    </row>
    <row r="859" spans="1:3">
      <c r="A859" t="str">
        <f>"601388"</f>
        <v>601388</v>
      </c>
      <c r="B859" t="str">
        <f>"怡球资源"</f>
        <v>怡球资源</v>
      </c>
      <c r="C859" t="str">
        <f t="shared" si="14"/>
        <v>上海A股</v>
      </c>
    </row>
    <row r="860" spans="1:3">
      <c r="A860" t="str">
        <f>"601390"</f>
        <v>601390</v>
      </c>
      <c r="B860" t="str">
        <f>"中国中铁"</f>
        <v>中国中铁</v>
      </c>
      <c r="C860" t="str">
        <f t="shared" si="14"/>
        <v>上海A股</v>
      </c>
    </row>
    <row r="861" spans="1:3">
      <c r="A861" t="str">
        <f>"601398"</f>
        <v>601398</v>
      </c>
      <c r="B861" t="str">
        <f>"工商银行"</f>
        <v>工商银行</v>
      </c>
      <c r="C861" t="str">
        <f t="shared" si="14"/>
        <v>上海A股</v>
      </c>
    </row>
    <row r="862" spans="1:3">
      <c r="A862" t="str">
        <f>"601519"</f>
        <v>601519</v>
      </c>
      <c r="B862" t="str">
        <f>"大智慧"</f>
        <v>大智慧</v>
      </c>
      <c r="C862" t="str">
        <f t="shared" si="14"/>
        <v>上海A股</v>
      </c>
    </row>
    <row r="863" spans="1:3">
      <c r="A863" t="str">
        <f>"601555"</f>
        <v>601555</v>
      </c>
      <c r="B863" t="str">
        <f>"东吴证券"</f>
        <v>东吴证券</v>
      </c>
      <c r="C863" t="str">
        <f t="shared" si="14"/>
        <v>上海A股</v>
      </c>
    </row>
    <row r="864" spans="1:3">
      <c r="A864" t="str">
        <f>"601600"</f>
        <v>601600</v>
      </c>
      <c r="B864" t="str">
        <f>"中国铝业"</f>
        <v>中国铝业</v>
      </c>
      <c r="C864" t="str">
        <f t="shared" si="14"/>
        <v>上海A股</v>
      </c>
    </row>
    <row r="865" spans="1:3">
      <c r="A865" t="str">
        <f>"601601"</f>
        <v>601601</v>
      </c>
      <c r="B865" t="str">
        <f>"中国太保"</f>
        <v>中国太保</v>
      </c>
      <c r="C865" t="str">
        <f t="shared" si="14"/>
        <v>上海A股</v>
      </c>
    </row>
    <row r="866" spans="1:3">
      <c r="A866" t="str">
        <f>"601607"</f>
        <v>601607</v>
      </c>
      <c r="B866" t="str">
        <f>"上海医药"</f>
        <v>上海医药</v>
      </c>
      <c r="C866" t="str">
        <f t="shared" si="14"/>
        <v>上海A股</v>
      </c>
    </row>
    <row r="867" spans="1:3">
      <c r="A867" t="str">
        <f>"601608"</f>
        <v>601608</v>
      </c>
      <c r="B867" t="str">
        <f>"中信重工"</f>
        <v>中信重工</v>
      </c>
      <c r="C867" t="str">
        <f t="shared" si="14"/>
        <v>上海A股</v>
      </c>
    </row>
    <row r="868" spans="1:3">
      <c r="A868" t="str">
        <f>"601618"</f>
        <v>601618</v>
      </c>
      <c r="B868" t="str">
        <f>"中国中冶"</f>
        <v>中国中冶</v>
      </c>
      <c r="C868" t="str">
        <f t="shared" si="14"/>
        <v>上海A股</v>
      </c>
    </row>
    <row r="869" spans="1:3">
      <c r="A869" t="str">
        <f>"601628"</f>
        <v>601628</v>
      </c>
      <c r="B869" t="str">
        <f>"中国人寿"</f>
        <v>中国人寿</v>
      </c>
      <c r="C869" t="str">
        <f t="shared" si="14"/>
        <v>上海A股</v>
      </c>
    </row>
    <row r="870" spans="1:3">
      <c r="A870" t="str">
        <f>"601633"</f>
        <v>601633</v>
      </c>
      <c r="B870" t="str">
        <f>"长城汽车"</f>
        <v>长城汽车</v>
      </c>
      <c r="C870" t="str">
        <f t="shared" si="14"/>
        <v>上海A股</v>
      </c>
    </row>
    <row r="871" spans="1:3">
      <c r="A871" t="str">
        <f>"601666"</f>
        <v>601666</v>
      </c>
      <c r="B871" t="str">
        <f>"平煤股份"</f>
        <v>平煤股份</v>
      </c>
      <c r="C871" t="str">
        <f t="shared" si="14"/>
        <v>上海A股</v>
      </c>
    </row>
    <row r="872" spans="1:3">
      <c r="A872" t="str">
        <f>"601668"</f>
        <v>601668</v>
      </c>
      <c r="B872" t="str">
        <f>"中国建筑"</f>
        <v>中国建筑</v>
      </c>
      <c r="C872" t="str">
        <f t="shared" si="14"/>
        <v>上海A股</v>
      </c>
    </row>
    <row r="873" spans="1:3">
      <c r="A873" t="str">
        <f>"601669"</f>
        <v>601669</v>
      </c>
      <c r="B873" t="str">
        <f>"中国电建"</f>
        <v>中国电建</v>
      </c>
      <c r="C873" t="str">
        <f t="shared" si="14"/>
        <v>上海A股</v>
      </c>
    </row>
    <row r="874" spans="1:3">
      <c r="A874" t="str">
        <f>"601678"</f>
        <v>601678</v>
      </c>
      <c r="B874" t="str">
        <f>"滨化股份"</f>
        <v>滨化股份</v>
      </c>
      <c r="C874" t="str">
        <f t="shared" si="14"/>
        <v>上海A股</v>
      </c>
    </row>
    <row r="875" spans="1:3">
      <c r="A875" t="str">
        <f>"601688"</f>
        <v>601688</v>
      </c>
      <c r="B875" t="str">
        <f>"华泰证券"</f>
        <v>华泰证券</v>
      </c>
      <c r="C875" t="str">
        <f t="shared" si="14"/>
        <v>上海A股</v>
      </c>
    </row>
    <row r="876" spans="1:3">
      <c r="A876" t="str">
        <f>"601699"</f>
        <v>601699</v>
      </c>
      <c r="B876" t="str">
        <f>"潞安环能"</f>
        <v>潞安环能</v>
      </c>
      <c r="C876" t="str">
        <f t="shared" si="14"/>
        <v>上海A股</v>
      </c>
    </row>
    <row r="877" spans="1:3">
      <c r="A877" t="str">
        <f>"601717"</f>
        <v>601717</v>
      </c>
      <c r="B877" t="str">
        <f>"郑煤机"</f>
        <v>郑煤机</v>
      </c>
      <c r="C877" t="str">
        <f t="shared" si="14"/>
        <v>上海A股</v>
      </c>
    </row>
    <row r="878" spans="1:3">
      <c r="A878" t="str">
        <f>"601718"</f>
        <v>601718</v>
      </c>
      <c r="B878" t="str">
        <f>"际华集团"</f>
        <v>际华集团</v>
      </c>
      <c r="C878" t="str">
        <f t="shared" si="14"/>
        <v>上海A股</v>
      </c>
    </row>
    <row r="879" spans="1:3">
      <c r="A879" t="str">
        <f>"601727"</f>
        <v>601727</v>
      </c>
      <c r="B879" t="str">
        <f>"上海电气"</f>
        <v>上海电气</v>
      </c>
      <c r="C879" t="str">
        <f t="shared" si="14"/>
        <v>上海A股</v>
      </c>
    </row>
    <row r="880" spans="1:3">
      <c r="A880" t="str">
        <f>"601766"</f>
        <v>601766</v>
      </c>
      <c r="B880" t="str">
        <f>"中国中车"</f>
        <v>中国中车</v>
      </c>
      <c r="C880" t="str">
        <f t="shared" si="14"/>
        <v>上海A股</v>
      </c>
    </row>
    <row r="881" spans="1:3">
      <c r="A881" t="str">
        <f>"601777"</f>
        <v>601777</v>
      </c>
      <c r="B881" t="str">
        <f>"力帆股份"</f>
        <v>力帆股份</v>
      </c>
      <c r="C881" t="str">
        <f t="shared" si="14"/>
        <v>上海A股</v>
      </c>
    </row>
    <row r="882" spans="1:3">
      <c r="A882" t="str">
        <f>"601788"</f>
        <v>601788</v>
      </c>
      <c r="B882" t="str">
        <f>"光大证券"</f>
        <v>光大证券</v>
      </c>
      <c r="C882" t="str">
        <f t="shared" si="14"/>
        <v>上海A股</v>
      </c>
    </row>
    <row r="883" spans="1:3">
      <c r="A883" t="str">
        <f>"601789"</f>
        <v>601789</v>
      </c>
      <c r="B883" t="str">
        <f>"宁波建工"</f>
        <v>宁波建工</v>
      </c>
      <c r="C883" t="str">
        <f t="shared" si="14"/>
        <v>上海A股</v>
      </c>
    </row>
    <row r="884" spans="1:3">
      <c r="A884" t="str">
        <f>"601800"</f>
        <v>601800</v>
      </c>
      <c r="B884" t="str">
        <f>"中国交建"</f>
        <v>中国交建</v>
      </c>
      <c r="C884" t="str">
        <f t="shared" si="14"/>
        <v>上海A股</v>
      </c>
    </row>
    <row r="885" spans="1:3">
      <c r="A885" t="str">
        <f>"601801"</f>
        <v>601801</v>
      </c>
      <c r="B885" t="str">
        <f>"皖新传媒"</f>
        <v>皖新传媒</v>
      </c>
      <c r="C885" t="str">
        <f t="shared" si="14"/>
        <v>上海A股</v>
      </c>
    </row>
    <row r="886" spans="1:3">
      <c r="A886" t="str">
        <f>"601808"</f>
        <v>601808</v>
      </c>
      <c r="B886" t="str">
        <f>"中海油服"</f>
        <v>中海油服</v>
      </c>
      <c r="C886" t="str">
        <f t="shared" si="14"/>
        <v>上海A股</v>
      </c>
    </row>
    <row r="887" spans="1:3">
      <c r="A887" t="str">
        <f>"601818"</f>
        <v>601818</v>
      </c>
      <c r="B887" t="str">
        <f>"光大银行"</f>
        <v>光大银行</v>
      </c>
      <c r="C887" t="str">
        <f t="shared" si="14"/>
        <v>上海A股</v>
      </c>
    </row>
    <row r="888" spans="1:3">
      <c r="A888" t="str">
        <f>"601857"</f>
        <v>601857</v>
      </c>
      <c r="B888" t="str">
        <f>"中国石油"</f>
        <v>中国石油</v>
      </c>
      <c r="C888" t="str">
        <f t="shared" si="14"/>
        <v>上海A股</v>
      </c>
    </row>
    <row r="889" spans="1:3">
      <c r="A889" t="str">
        <f>"601866"</f>
        <v>601866</v>
      </c>
      <c r="B889" t="str">
        <f>"中海集运"</f>
        <v>中海集运</v>
      </c>
      <c r="C889" t="str">
        <f t="shared" si="14"/>
        <v>上海A股</v>
      </c>
    </row>
    <row r="890" spans="1:3">
      <c r="A890" t="str">
        <f>"601872"</f>
        <v>601872</v>
      </c>
      <c r="B890" t="str">
        <f>"招商轮船"</f>
        <v>招商轮船</v>
      </c>
      <c r="C890" t="str">
        <f t="shared" si="14"/>
        <v>上海A股</v>
      </c>
    </row>
    <row r="891" spans="1:3">
      <c r="A891" t="str">
        <f>"601877"</f>
        <v>601877</v>
      </c>
      <c r="B891" t="str">
        <f>"正泰电器"</f>
        <v>正泰电器</v>
      </c>
      <c r="C891" t="str">
        <f t="shared" si="14"/>
        <v>上海A股</v>
      </c>
    </row>
    <row r="892" spans="1:3">
      <c r="A892" t="str">
        <f>"601880"</f>
        <v>601880</v>
      </c>
      <c r="B892" t="str">
        <f>"大连港"</f>
        <v>大连港</v>
      </c>
      <c r="C892" t="str">
        <f t="shared" si="14"/>
        <v>上海A股</v>
      </c>
    </row>
    <row r="893" spans="1:3">
      <c r="A893" t="str">
        <f>"601886"</f>
        <v>601886</v>
      </c>
      <c r="B893" t="str">
        <f>"江河创建"</f>
        <v>江河创建</v>
      </c>
      <c r="C893" t="str">
        <f t="shared" si="14"/>
        <v>上海A股</v>
      </c>
    </row>
    <row r="894" spans="1:3">
      <c r="A894" t="str">
        <f>"601888"</f>
        <v>601888</v>
      </c>
      <c r="B894" t="str">
        <f>"中国国旅"</f>
        <v>中国国旅</v>
      </c>
      <c r="C894" t="str">
        <f t="shared" si="14"/>
        <v>上海A股</v>
      </c>
    </row>
    <row r="895" spans="1:3">
      <c r="A895" t="str">
        <f>"601898"</f>
        <v>601898</v>
      </c>
      <c r="B895" t="str">
        <f>"中煤能源"</f>
        <v>中煤能源</v>
      </c>
      <c r="C895" t="str">
        <f t="shared" si="14"/>
        <v>上海A股</v>
      </c>
    </row>
    <row r="896" spans="1:3">
      <c r="A896" t="str">
        <f>"601899"</f>
        <v>601899</v>
      </c>
      <c r="B896" t="str">
        <f>"紫金矿业"</f>
        <v>紫金矿业</v>
      </c>
      <c r="C896" t="str">
        <f t="shared" si="14"/>
        <v>上海A股</v>
      </c>
    </row>
    <row r="897" spans="1:3">
      <c r="A897" t="str">
        <f>"601901"</f>
        <v>601901</v>
      </c>
      <c r="B897" t="str">
        <f>"方正证券"</f>
        <v>方正证券</v>
      </c>
      <c r="C897" t="str">
        <f t="shared" si="14"/>
        <v>上海A股</v>
      </c>
    </row>
    <row r="898" spans="1:3">
      <c r="A898" t="str">
        <f>"601918"</f>
        <v>601918</v>
      </c>
      <c r="B898" t="str">
        <f>"国投新集"</f>
        <v>国投新集</v>
      </c>
      <c r="C898" t="str">
        <f t="shared" si="14"/>
        <v>上海A股</v>
      </c>
    </row>
    <row r="899" spans="1:3">
      <c r="A899" t="str">
        <f>"601919"</f>
        <v>601919</v>
      </c>
      <c r="B899" t="str">
        <f>"中国远洋"</f>
        <v>中国远洋</v>
      </c>
      <c r="C899" t="str">
        <f t="shared" si="14"/>
        <v>上海A股</v>
      </c>
    </row>
    <row r="900" spans="1:3">
      <c r="A900" t="str">
        <f>"601928"</f>
        <v>601928</v>
      </c>
      <c r="B900" t="str">
        <f>"凤凰传媒"</f>
        <v>凤凰传媒</v>
      </c>
      <c r="C900" t="str">
        <f t="shared" si="14"/>
        <v>上海A股</v>
      </c>
    </row>
    <row r="901" spans="1:3">
      <c r="A901" t="str">
        <f>"601929"</f>
        <v>601929</v>
      </c>
      <c r="B901" t="str">
        <f>"吉视传媒"</f>
        <v>吉视传媒</v>
      </c>
      <c r="C901" t="str">
        <f t="shared" si="14"/>
        <v>上海A股</v>
      </c>
    </row>
    <row r="902" spans="1:3">
      <c r="A902" t="str">
        <f>"601933"</f>
        <v>601933</v>
      </c>
      <c r="B902" t="str">
        <f>"永辉超市"</f>
        <v>永辉超市</v>
      </c>
      <c r="C902" t="str">
        <f t="shared" si="14"/>
        <v>上海A股</v>
      </c>
    </row>
    <row r="903" spans="1:3">
      <c r="A903" t="str">
        <f>"601939"</f>
        <v>601939</v>
      </c>
      <c r="B903" t="str">
        <f>"建设银行"</f>
        <v>建设银行</v>
      </c>
      <c r="C903" t="str">
        <f t="shared" si="14"/>
        <v>上海A股</v>
      </c>
    </row>
    <row r="904" spans="1:3">
      <c r="A904" t="str">
        <f>"601958"</f>
        <v>601958</v>
      </c>
      <c r="B904" t="str">
        <f>"金钼股份"</f>
        <v>金钼股份</v>
      </c>
      <c r="C904" t="str">
        <f t="shared" si="14"/>
        <v>上海A股</v>
      </c>
    </row>
    <row r="905" spans="1:3">
      <c r="A905" t="str">
        <f>"601988"</f>
        <v>601988</v>
      </c>
      <c r="B905" t="str">
        <f>"中国银行"</f>
        <v>中国银行</v>
      </c>
      <c r="C905" t="str">
        <f t="shared" si="14"/>
        <v>上海A股</v>
      </c>
    </row>
    <row r="906" spans="1:3">
      <c r="A906" t="str">
        <f>"601989"</f>
        <v>601989</v>
      </c>
      <c r="B906" t="str">
        <f>"中国重工"</f>
        <v>中国重工</v>
      </c>
      <c r="C906" t="str">
        <f t="shared" si="14"/>
        <v>上海A股</v>
      </c>
    </row>
    <row r="907" spans="1:3">
      <c r="A907" t="str">
        <f>"601991"</f>
        <v>601991</v>
      </c>
      <c r="B907" t="str">
        <f>"大唐发电"</f>
        <v>大唐发电</v>
      </c>
      <c r="C907" t="str">
        <f t="shared" si="14"/>
        <v>上海A股</v>
      </c>
    </row>
    <row r="908" spans="1:3">
      <c r="A908" t="str">
        <f>"601992"</f>
        <v>601992</v>
      </c>
      <c r="B908" t="str">
        <f>"金隅股份"</f>
        <v>金隅股份</v>
      </c>
      <c r="C908" t="str">
        <f t="shared" si="14"/>
        <v>上海A股</v>
      </c>
    </row>
    <row r="909" spans="1:3">
      <c r="A909" t="str">
        <f>"601996"</f>
        <v>601996</v>
      </c>
      <c r="B909" t="str">
        <f>"丰林集团"</f>
        <v>丰林集团</v>
      </c>
      <c r="C909" t="str">
        <f t="shared" si="14"/>
        <v>上海A股</v>
      </c>
    </row>
    <row r="910" spans="1:3">
      <c r="A910" t="str">
        <f>"601998"</f>
        <v>601998</v>
      </c>
      <c r="B910" t="str">
        <f>"中信银行"</f>
        <v>中信银行</v>
      </c>
      <c r="C910" t="str">
        <f t="shared" si="14"/>
        <v>上海A股</v>
      </c>
    </row>
    <row r="911" spans="1:3">
      <c r="A911" t="str">
        <f>"601999"</f>
        <v>601999</v>
      </c>
      <c r="B911" t="str">
        <f>"出版传媒"</f>
        <v>出版传媒</v>
      </c>
      <c r="C911" t="str">
        <f t="shared" si="14"/>
        <v>上海A股</v>
      </c>
    </row>
    <row r="912" spans="1:3">
      <c r="A912" t="str">
        <f>"603000"</f>
        <v>603000</v>
      </c>
      <c r="B912" t="str">
        <f>"人民网"</f>
        <v>人民网</v>
      </c>
      <c r="C912" t="str">
        <f t="shared" si="14"/>
        <v>上海A股</v>
      </c>
    </row>
    <row r="913" spans="1:3">
      <c r="A913" t="str">
        <f>"603993"</f>
        <v>603993</v>
      </c>
      <c r="B913" t="str">
        <f>"洛阳钼业"</f>
        <v>洛阳钼业</v>
      </c>
      <c r="C913" t="str">
        <f t="shared" si="14"/>
        <v>上海A股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2015-06-15T14:17:16Z</dcterms:modified>
</cp:coreProperties>
</file>